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ils/Downloads/"/>
    </mc:Choice>
  </mc:AlternateContent>
  <xr:revisionPtr revIDLastSave="0" documentId="13_ncr:1_{73E7F4F8-4727-6747-AF1C-A33BCACF3777}" xr6:coauthVersionLast="47" xr6:coauthVersionMax="47" xr10:uidLastSave="{00000000-0000-0000-0000-000000000000}"/>
  <bookViews>
    <workbookView xWindow="1060" yWindow="500" windowWidth="50140" windowHeight="28300" tabRatio="500" xr2:uid="{00000000-000D-0000-FFFF-FFFF00000000}"/>
  </bookViews>
  <sheets>
    <sheet name="Haushaltsplan" sheetId="1" r:id="rId1"/>
  </sheets>
  <definedNames>
    <definedName name="__shared_2_0_0">#REF!</definedName>
    <definedName name="_xlnm.Print_Area" localSheetId="0">Haushaltsplan!$A$1:$L$163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58" i="1" l="1"/>
  <c r="J15" i="1"/>
  <c r="J26" i="1"/>
  <c r="J27" i="1"/>
  <c r="J143" i="1"/>
  <c r="J55" i="1"/>
  <c r="J51" i="1"/>
  <c r="J47" i="1"/>
  <c r="J43" i="1"/>
  <c r="J42" i="1"/>
  <c r="J41" i="1"/>
  <c r="J40" i="1"/>
  <c r="J38" i="1"/>
  <c r="J37" i="1"/>
  <c r="J36" i="1"/>
  <c r="J34" i="1"/>
  <c r="J49" i="1"/>
  <c r="J46" i="1"/>
  <c r="J45" i="1"/>
  <c r="J44" i="1"/>
  <c r="J39" i="1"/>
  <c r="J35" i="1"/>
  <c r="J33" i="1"/>
  <c r="J32" i="1"/>
  <c r="J30" i="1"/>
  <c r="J29" i="1"/>
  <c r="J28" i="1"/>
  <c r="J31" i="1"/>
  <c r="J161" i="1" l="1"/>
  <c r="H161" i="1"/>
  <c r="M151" i="1"/>
  <c r="M150" i="1"/>
  <c r="M149" i="1"/>
  <c r="P148" i="1"/>
  <c r="M148" i="1"/>
  <c r="M147" i="1"/>
  <c r="M146" i="1"/>
  <c r="M145" i="1"/>
  <c r="M144" i="1"/>
  <c r="H143" i="1"/>
  <c r="F143" i="1"/>
  <c r="N142" i="1" s="1"/>
  <c r="D143" i="1"/>
  <c r="D161" i="1" s="1"/>
  <c r="O135" i="1"/>
  <c r="P135" i="1" s="1"/>
  <c r="J130" i="1"/>
  <c r="H130" i="1"/>
  <c r="F130" i="1"/>
  <c r="D130" i="1"/>
  <c r="J127" i="1"/>
  <c r="H127" i="1"/>
  <c r="F127" i="1"/>
  <c r="F133" i="1" s="1"/>
  <c r="D127" i="1"/>
  <c r="J119" i="1"/>
  <c r="H119" i="1"/>
  <c r="F119" i="1"/>
  <c r="D119" i="1"/>
  <c r="J114" i="1"/>
  <c r="J112" i="1"/>
  <c r="H112" i="1"/>
  <c r="F112" i="1"/>
  <c r="D112" i="1"/>
  <c r="J101" i="1"/>
  <c r="J97" i="1" s="1"/>
  <c r="H101" i="1"/>
  <c r="H97" i="1" s="1"/>
  <c r="D101" i="1"/>
  <c r="D97" i="1" s="1"/>
  <c r="J100" i="1"/>
  <c r="F97" i="1"/>
  <c r="H91" i="1"/>
  <c r="Q89" i="1"/>
  <c r="J89" i="1"/>
  <c r="H89" i="1"/>
  <c r="F89" i="1"/>
  <c r="D89" i="1"/>
  <c r="F84" i="1"/>
  <c r="D84" i="1"/>
  <c r="H83" i="1"/>
  <c r="H79" i="1" s="1"/>
  <c r="Q79" i="1"/>
  <c r="J79" i="1"/>
  <c r="J74" i="1"/>
  <c r="H74" i="1"/>
  <c r="J73" i="1"/>
  <c r="J72" i="1"/>
  <c r="H72" i="1"/>
  <c r="J71" i="1"/>
  <c r="J70" i="1"/>
  <c r="J69" i="1"/>
  <c r="H69" i="1"/>
  <c r="J68" i="1"/>
  <c r="H68" i="1"/>
  <c r="F68" i="1"/>
  <c r="J67" i="1"/>
  <c r="H67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K56" i="1"/>
  <c r="I56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J25" i="1"/>
  <c r="H27" i="1"/>
  <c r="H26" i="1"/>
  <c r="H25" i="1" s="1"/>
  <c r="K25" i="1"/>
  <c r="I25" i="1"/>
  <c r="J23" i="1"/>
  <c r="H23" i="1"/>
  <c r="H16" i="1"/>
  <c r="F16" i="1"/>
  <c r="D16" i="1"/>
  <c r="J5" i="1"/>
  <c r="J16" i="1" s="1"/>
  <c r="H84" i="1" l="1"/>
  <c r="O145" i="1"/>
  <c r="J56" i="1"/>
  <c r="O147" i="1"/>
  <c r="J133" i="1"/>
  <c r="H133" i="1"/>
  <c r="H137" i="1" s="1"/>
  <c r="H139" i="1"/>
  <c r="M139" i="1" s="1"/>
  <c r="D133" i="1"/>
  <c r="D137" i="1" s="1"/>
  <c r="D139" i="1" s="1"/>
  <c r="J84" i="1"/>
  <c r="J137" i="1" s="1"/>
  <c r="J139" i="1" s="1"/>
  <c r="F137" i="1"/>
  <c r="F139" i="1" s="1"/>
  <c r="O149" i="1"/>
  <c r="P145" i="1"/>
  <c r="F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2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Finanzcontrolling und Buchhaltung in einer Summe</t>
        </r>
      </text>
    </comment>
  </commentList>
</comments>
</file>

<file path=xl/sharedStrings.xml><?xml version="1.0" encoding="utf-8"?>
<sst xmlns="http://schemas.openxmlformats.org/spreadsheetml/2006/main" count="252" uniqueCount="227">
  <si>
    <t>Einnahmen</t>
  </si>
  <si>
    <t>IST</t>
  </si>
  <si>
    <t>PLAN / Nachtrag</t>
  </si>
  <si>
    <t>PLAN</t>
  </si>
  <si>
    <t>Titel Nr.</t>
  </si>
  <si>
    <t>Herkunft</t>
  </si>
  <si>
    <t>HHJahr 2022/23</t>
  </si>
  <si>
    <t>HHJahr2023/24</t>
  </si>
  <si>
    <t>HHJahr 2024/25</t>
  </si>
  <si>
    <t>HHJahr 2025/26</t>
  </si>
  <si>
    <t>Kalkulation</t>
  </si>
  <si>
    <t>111.21</t>
  </si>
  <si>
    <t>Student_innenschaftsbeiträge</t>
  </si>
  <si>
    <t>=26000*197,51+26500*229,9</t>
  </si>
  <si>
    <t>119.01 F</t>
  </si>
  <si>
    <t>Vermischte Einnahmen</t>
  </si>
  <si>
    <t>119.08</t>
  </si>
  <si>
    <t>Kaffeeverkauf</t>
  </si>
  <si>
    <t>119.09</t>
  </si>
  <si>
    <t>Ersatzleistungen (aus Versicherungen)</t>
  </si>
  <si>
    <t>129.01</t>
  </si>
  <si>
    <t>Einnahmen aus ISIC-Verkauf</t>
  </si>
  <si>
    <t>132.01 F</t>
  </si>
  <si>
    <t>Erlöse aus der Veräußerung von beweglichen Sachen</t>
  </si>
  <si>
    <t>111.01</t>
  </si>
  <si>
    <t>Bargeldeinnahmen</t>
  </si>
  <si>
    <t>162.01</t>
  </si>
  <si>
    <t>Zinsen</t>
  </si>
  <si>
    <t>182.01</t>
  </si>
  <si>
    <t>Darlehensrückflüsse (aus Studierendendarl.)</t>
  </si>
  <si>
    <t>359.01</t>
  </si>
  <si>
    <t>Entnahme Ausgleichsrücklage</t>
  </si>
  <si>
    <t xml:space="preserve"> Vor allem alte Fachschaftengelder</t>
  </si>
  <si>
    <t>359.02</t>
  </si>
  <si>
    <t>Entnahme Betriebsmittelrücklage</t>
  </si>
  <si>
    <t xml:space="preserve"> Zusätzliche Personalkosten, Auftragsarbeiten, Finanzanträge…</t>
  </si>
  <si>
    <t>Summe Einnahmen:</t>
  </si>
  <si>
    <t>Ausgaben</t>
  </si>
  <si>
    <t>Personal</t>
  </si>
  <si>
    <t>Zweckbestimmung</t>
  </si>
  <si>
    <t>HHJahr2022/23</t>
  </si>
  <si>
    <t>HHJahr2024/25</t>
  </si>
  <si>
    <t>412.02</t>
  </si>
  <si>
    <t>AWE AStA-Referent_innen</t>
  </si>
  <si>
    <t>9 Reffies, 13x 200 €</t>
  </si>
  <si>
    <t>412.03</t>
  </si>
  <si>
    <t>AWE Stud. Sachbearbeiter_innen</t>
  </si>
  <si>
    <t xml:space="preserve">  Je 250 € auf 13 Monate</t>
  </si>
  <si>
    <t>Ausländer_innensprecher_innen</t>
  </si>
  <si>
    <t>Senator_innen</t>
  </si>
  <si>
    <t>Schriftführer_in im StuRa</t>
  </si>
  <si>
    <t>Präsident*in im StuRa</t>
  </si>
  <si>
    <t>Vizepräsident*in im StuRa</t>
  </si>
  <si>
    <t>Mitglieder Altestenrat</t>
  </si>
  <si>
    <t xml:space="preserve"> AWE = 100,-!</t>
  </si>
  <si>
    <t>Koordination AStA-Druckerei</t>
  </si>
  <si>
    <t>Systemadministration</t>
  </si>
  <si>
    <t>Servicebüro</t>
  </si>
  <si>
    <t>Frauen- und Geschlechterpolitik</t>
  </si>
  <si>
    <t>BAföG- und Sozialberatung</t>
  </si>
  <si>
    <t>Geschäftszimmerdienst</t>
  </si>
  <si>
    <t>Darlehensbearbeitung</t>
  </si>
  <si>
    <t>Archiv</t>
  </si>
  <si>
    <t>Teilhabe</t>
  </si>
  <si>
    <t>Zivilklausel</t>
  </si>
  <si>
    <t>Koordinierung Akad. Selbstverwaltung</t>
  </si>
  <si>
    <t>Hochschul- und Studienberatung</t>
  </si>
  <si>
    <t>Admission</t>
  </si>
  <si>
    <t>Medien und Technik</t>
  </si>
  <si>
    <t>Queer-Politik</t>
  </si>
  <si>
    <t>Kritische Bildung</t>
  </si>
  <si>
    <t>Reader</t>
  </si>
  <si>
    <t>Semesterticket-Ausfallfonds</t>
  </si>
  <si>
    <t>KO Wissentransfer/-vermittlung</t>
  </si>
  <si>
    <t>Anti-Dis</t>
  </si>
  <si>
    <t>AG Antidis Koordination</t>
  </si>
  <si>
    <t>Beratung Refugee Law Clinic</t>
  </si>
  <si>
    <t>Integration (ab HHJ 2025/26)</t>
  </si>
  <si>
    <t>FCLR (ab HHJ 2025/26)</t>
  </si>
  <si>
    <t>413.01</t>
  </si>
  <si>
    <t>Vergütungen</t>
  </si>
  <si>
    <t xml:space="preserve"> ausgezahlte Beträge, netto</t>
  </si>
  <si>
    <t>Referat Finanzen</t>
  </si>
  <si>
    <t>Referat Kasse</t>
  </si>
  <si>
    <t>Referat Fachschaften</t>
  </si>
  <si>
    <t>Referat Hochschulpolitik Außen</t>
  </si>
  <si>
    <t>Referat Internationales</t>
  </si>
  <si>
    <t>Referat Soziales</t>
  </si>
  <si>
    <t>Referat Politische Bildung</t>
  </si>
  <si>
    <t>Referat Presse</t>
  </si>
  <si>
    <t>Referat Ökologie und Nachhaltigkeit/Mobilität</t>
  </si>
  <si>
    <t>Referat Datenschutz</t>
  </si>
  <si>
    <t>Semesterticket und Mobilität Minijob</t>
  </si>
  <si>
    <t>Ausländer*innensprecher*innen</t>
  </si>
  <si>
    <t>Datenschutz Minijob</t>
  </si>
  <si>
    <t>Buchhaltung Minijob</t>
  </si>
  <si>
    <t>Finanzcontrolling</t>
  </si>
  <si>
    <t>Minijob Finanzen</t>
  </si>
  <si>
    <t>413.02</t>
  </si>
  <si>
    <t>Gesetzlicher Sozialer Aufwand</t>
  </si>
  <si>
    <t xml:space="preserve"> = Gehälter + 40 % Lohnnebenkosten</t>
  </si>
  <si>
    <t>Krankenvers. / Knappschaft</t>
  </si>
  <si>
    <t>VBG / Unfallversicherung</t>
  </si>
  <si>
    <t>Knappschaft</t>
  </si>
  <si>
    <t>Lohnsteuer / Kirchensteuer</t>
  </si>
  <si>
    <t>427.01 F</t>
  </si>
  <si>
    <t>Beschäftigungsentgelte an Vertretungs- und Aushilfskräfte</t>
  </si>
  <si>
    <t>Buchhaltung</t>
  </si>
  <si>
    <t>1 Monat</t>
  </si>
  <si>
    <t>Digitalisierung des Archivs der Verfassten Studierendenschaft</t>
  </si>
  <si>
    <t>Auftragsarbeiten / zeitlich begrenzte Arbeiten</t>
  </si>
  <si>
    <t>Externe Datenschutzbeauftragte (Laufzeit 3 Jahre, ab Juli 24)</t>
  </si>
  <si>
    <t>Summe Personalausgaben</t>
  </si>
  <si>
    <t xml:space="preserve">Sachmittel </t>
  </si>
  <si>
    <t>HHJ2025/26</t>
  </si>
  <si>
    <t>511.01 F</t>
  </si>
  <si>
    <t>Geschäftsbedarf und Kommunikation sowie Geräte, Ausstattungs- und Ausrüstungsgegenstände, sonstige Gebrauchsgegenstände</t>
  </si>
  <si>
    <t>Ersatz einiger Desktop-PCs</t>
  </si>
  <si>
    <t>514.02</t>
  </si>
  <si>
    <t>Fahrradwerkstätten</t>
  </si>
  <si>
    <t>€ 1,11 x 52.500 Studis + Glocksee f. WiSe 24/25</t>
  </si>
  <si>
    <t>518.01</t>
  </si>
  <si>
    <t>Energiepausch. Studentenwerk</t>
  </si>
  <si>
    <t>525.01 F</t>
  </si>
  <si>
    <t>Aus- und Fortbildung der Bediensteten</t>
  </si>
  <si>
    <t>526.02 F</t>
  </si>
  <si>
    <t>Gerichts- und ähnliche Kosten</t>
  </si>
  <si>
    <t>527.01 F</t>
  </si>
  <si>
    <t>Reisekostenvergütungen für Dienstreisen</t>
  </si>
  <si>
    <t>531.01</t>
  </si>
  <si>
    <t>Veröffentlichungen</t>
  </si>
  <si>
    <t>Vermischte Ausgaben,Versicherung</t>
  </si>
  <si>
    <t>546.01</t>
  </si>
  <si>
    <t>Autonomes femistisches Kollektiv gesamt</t>
  </si>
  <si>
    <t>ab WiSe 23/24 = 3 Sem (Rücklagen)</t>
  </si>
  <si>
    <t>546.02</t>
  </si>
  <si>
    <t>Ausländer gesamt</t>
  </si>
  <si>
    <t>ab SoSe 22, ca. 4.600,- pro Semester</t>
  </si>
  <si>
    <t>546.03</t>
  </si>
  <si>
    <t>Fachschaften gesamt</t>
  </si>
  <si>
    <t>2 Semester plus alte Gelder bis SoSe 24</t>
  </si>
  <si>
    <t>546.04</t>
  </si>
  <si>
    <t>Vermischtes</t>
  </si>
  <si>
    <t>davon Kontoführungsgebühren</t>
  </si>
  <si>
    <t>davon Erstsemesterbeutel</t>
  </si>
  <si>
    <t>davon Verbrauchsmaterialien</t>
  </si>
  <si>
    <t xml:space="preserve">davon Lizenzen; Gema, Standmieten, etc. </t>
  </si>
  <si>
    <t>davon Verpflegung und sonst. Auslagen</t>
  </si>
  <si>
    <t>davon Tagung</t>
  </si>
  <si>
    <t>davon fclr Dixies, Bauzaun, Technik, etc.</t>
  </si>
  <si>
    <t>davon sonstiges</t>
  </si>
  <si>
    <t>546.05</t>
  </si>
  <si>
    <t>Versicherungen</t>
  </si>
  <si>
    <t>Semesterticket,Sonstige</t>
  </si>
  <si>
    <t>547.01</t>
  </si>
  <si>
    <t>Mobilitätsprojekte</t>
  </si>
  <si>
    <t>547.02</t>
  </si>
  <si>
    <t>Semesterticket aktuell</t>
  </si>
  <si>
    <t>SoSe 25: 176,40 / WiSe 25/25: 208,80 €</t>
  </si>
  <si>
    <t>547.03</t>
  </si>
  <si>
    <t>Rückzahlung 9-Euro-Ticket</t>
  </si>
  <si>
    <t>547.04</t>
  </si>
  <si>
    <t>Nachzahlung Korrektur Endabrechnungen</t>
  </si>
  <si>
    <t>548.01</t>
  </si>
  <si>
    <t>Sonstige Inanspruchnahme von Dienstleistungen o.ä.</t>
  </si>
  <si>
    <t>Steuerberatung/Lohnbuchführung</t>
  </si>
  <si>
    <t>684.01</t>
  </si>
  <si>
    <t>Babygruppen/KiTa/KiLa</t>
  </si>
  <si>
    <t>Mitgliedsbeiträge an Vereine, Verbände und Gesellschaften, sonstige Zuschüsse</t>
  </si>
  <si>
    <t>686.01</t>
  </si>
  <si>
    <t>Finanzanträge</t>
  </si>
  <si>
    <t>686.02</t>
  </si>
  <si>
    <t>Freitische (Zuschuss Mensa)</t>
  </si>
  <si>
    <t>686.03</t>
  </si>
  <si>
    <t>Sportreferat</t>
  </si>
  <si>
    <t>686.04</t>
  </si>
  <si>
    <t>Mitgliedsbeiträge</t>
  </si>
  <si>
    <t>686.05</t>
  </si>
  <si>
    <t>Semesterticketausfallfonds</t>
  </si>
  <si>
    <t>686.06</t>
  </si>
  <si>
    <t>Kulturticket</t>
  </si>
  <si>
    <t>868.07</t>
  </si>
  <si>
    <t>unifilm.de</t>
  </si>
  <si>
    <t xml:space="preserve">Sonstige Angaben für Investitionen </t>
  </si>
  <si>
    <t>812.07</t>
  </si>
  <si>
    <t>Erwerb von Geräten, Ausstattungs- und Ausrüstungsgegenständen</t>
  </si>
  <si>
    <t>863.01</t>
  </si>
  <si>
    <t>Darlehen der Studierendenschaft</t>
  </si>
  <si>
    <t>Rücklagen</t>
  </si>
  <si>
    <t>911.01</t>
  </si>
  <si>
    <t>Zuführung an die  Ausgleichsrücklage</t>
  </si>
  <si>
    <t>912.01</t>
  </si>
  <si>
    <t>Zuführung an die Betriebsmittelrücklage</t>
  </si>
  <si>
    <t>Summe Sachausgaben:</t>
  </si>
  <si>
    <t>Investition:</t>
  </si>
  <si>
    <t>Gesamtausgaben:</t>
  </si>
  <si>
    <t xml:space="preserve"> Einnahmen-Ausgaben:</t>
  </si>
  <si>
    <t>Ausgleichsrücklage</t>
  </si>
  <si>
    <t>Delta</t>
  </si>
  <si>
    <t>davon Rücklage Überzahlung Semesterticket</t>
  </si>
  <si>
    <t>Zuführung AR</t>
  </si>
  <si>
    <t>Zuführung in BR</t>
  </si>
  <si>
    <t>davon Rücklage Überzahlung Theaterflatrate</t>
  </si>
  <si>
    <t>davon Fachschaften</t>
  </si>
  <si>
    <t>Entnahme AR</t>
  </si>
  <si>
    <t>davon Ausländer*innenkommission</t>
  </si>
  <si>
    <t>Entnahme BR</t>
  </si>
  <si>
    <t>davon Autonomes Feministisches Kollektiv</t>
  </si>
  <si>
    <t>Delta AR</t>
  </si>
  <si>
    <t>ab WS 2023/24 = 3 Semester</t>
  </si>
  <si>
    <t>davon Mobilitätsprojekte</t>
  </si>
  <si>
    <t>davon Semesterticketausfallfonds</t>
  </si>
  <si>
    <t>davon Endabrechnung landesw. Semesterticket</t>
  </si>
  <si>
    <t xml:space="preserve">30 % Restzahlung </t>
  </si>
  <si>
    <t>davon Ausgleich Semesterticket</t>
  </si>
  <si>
    <t>davon Beitrag Sportreferat</t>
  </si>
  <si>
    <t>davon Beitrag Finanzanträge</t>
  </si>
  <si>
    <t>davon Theaterflatrate</t>
  </si>
  <si>
    <t xml:space="preserve">davon Beitrag fzs </t>
  </si>
  <si>
    <t>davon Nachzahlung Semesterticket</t>
  </si>
  <si>
    <t>Betriebsmittelrücklage</t>
  </si>
  <si>
    <t>Summe Rücklagen</t>
  </si>
  <si>
    <t xml:space="preserve">(ab WiSe 24/25 3 x 25.000€) </t>
  </si>
  <si>
    <t>davon fzs (freier Zusammenschluss d. Student:innenschaften)</t>
  </si>
  <si>
    <t>Amtszeit 12 Monate, 01.04.-31.03.</t>
  </si>
  <si>
    <t xml:space="preserve"> Auflösung Rücklagen: €448.799,50</t>
  </si>
  <si>
    <t>AStA-Haushaltsplan 2025/26 (Stand 29.04.2025)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</si>
</sst>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#,##0.00&quot; €&quot;"/>
    <numFmt numFmtId="166" formatCode="#,##0.00\ [$€-407];\-#,##0.00\ [$€-407]"/>
    <numFmt numFmtId="167" formatCode="#,##0.00&quot; €&quot;;\-#,##0.00&quot; €&quot;"/>
    <numFmt numFmtId="168" formatCode="#,##0.00\ [$€-407];[Red]\-#,##0.00\ [$€-407]"/>
    <numFmt numFmtId="169" formatCode="_-* #,##0.00&quot; €&quot;_-;\-* #,##0.00&quot; €&quot;_-;_-* \-??&quot; €&quot;_-;_-@_-"/>
  </numFmts>
  <fonts count="17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8"/>
      <name val="Arial1"/>
      <charset val="1"/>
    </font>
    <font>
      <sz val="11"/>
      <color rgb="FF000000"/>
      <name val="Arial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8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D9D9D9"/>
        <bgColor rgb="FFE2F0D9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/>
  </cellStyleXfs>
  <cellXfs count="290">
    <xf numFmtId="0" fontId="0" fillId="0" borderId="0" xfId="0"/>
    <xf numFmtId="0" fontId="3" fillId="4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7" fontId="9" fillId="3" borderId="1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/>
    <xf numFmtId="0" fontId="4" fillId="2" borderId="2" xfId="3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0" fontId="3" fillId="2" borderId="5" xfId="0" applyFont="1" applyFill="1" applyBorder="1"/>
    <xf numFmtId="0" fontId="6" fillId="2" borderId="5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3" borderId="7" xfId="0" applyFont="1" applyFill="1" applyBorder="1"/>
    <xf numFmtId="0" fontId="3" fillId="3" borderId="2" xfId="0" applyFont="1" applyFill="1" applyBorder="1"/>
    <xf numFmtId="165" fontId="8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5" fontId="8" fillId="3" borderId="8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0" borderId="4" xfId="0" applyFont="1" applyBorder="1"/>
    <xf numFmtId="165" fontId="9" fillId="3" borderId="8" xfId="0" applyNumberFormat="1" applyFont="1" applyFill="1" applyBorder="1" applyAlignment="1">
      <alignment horizontal="left"/>
    </xf>
    <xf numFmtId="0" fontId="8" fillId="3" borderId="11" xfId="0" applyFont="1" applyFill="1" applyBorder="1"/>
    <xf numFmtId="0" fontId="8" fillId="3" borderId="12" xfId="0" applyFont="1" applyFill="1" applyBorder="1"/>
    <xf numFmtId="165" fontId="8" fillId="3" borderId="11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5" fontId="8" fillId="3" borderId="13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5" fontId="9" fillId="3" borderId="13" xfId="3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165" fontId="9" fillId="3" borderId="13" xfId="3" applyNumberFormat="1" applyFont="1" applyFill="1" applyBorder="1" applyAlignment="1">
      <alignment horizontal="left"/>
    </xf>
    <xf numFmtId="0" fontId="10" fillId="0" borderId="0" xfId="3" applyFont="1" applyAlignment="1">
      <alignment horizontal="left"/>
    </xf>
    <xf numFmtId="0" fontId="10" fillId="0" borderId="5" xfId="3" applyFont="1" applyBorder="1"/>
    <xf numFmtId="165" fontId="10" fillId="0" borderId="0" xfId="3" applyNumberFormat="1" applyFont="1" applyAlignment="1">
      <alignment horizontal="right"/>
    </xf>
    <xf numFmtId="166" fontId="10" fillId="0" borderId="0" xfId="3" applyNumberFormat="1" applyFont="1" applyAlignment="1">
      <alignment horizontal="right"/>
    </xf>
    <xf numFmtId="165" fontId="10" fillId="0" borderId="15" xfId="3" applyNumberFormat="1" applyFont="1" applyBorder="1" applyAlignment="1">
      <alignment horizontal="right"/>
    </xf>
    <xf numFmtId="167" fontId="3" fillId="0" borderId="16" xfId="0" applyNumberFormat="1" applyFont="1" applyBorder="1" applyAlignment="1">
      <alignment horizontal="right"/>
    </xf>
    <xf numFmtId="167" fontId="3" fillId="0" borderId="10" xfId="0" applyNumberFormat="1" applyFont="1" applyBorder="1" applyAlignment="1">
      <alignment horizontal="center"/>
    </xf>
    <xf numFmtId="166" fontId="10" fillId="2" borderId="10" xfId="3" applyNumberFormat="1" applyFont="1" applyFill="1" applyBorder="1" applyAlignment="1">
      <alignment horizontal="left"/>
    </xf>
    <xf numFmtId="165" fontId="3" fillId="0" borderId="4" xfId="0" applyNumberFormat="1" applyFont="1" applyBorder="1"/>
    <xf numFmtId="0" fontId="10" fillId="0" borderId="1" xfId="0" applyFont="1" applyBorder="1" applyAlignment="1">
      <alignment horizontal="left"/>
    </xf>
    <xf numFmtId="165" fontId="10" fillId="0" borderId="15" xfId="3" applyNumberFormat="1" applyFont="1" applyBorder="1" applyAlignment="1">
      <alignment horizontal="left"/>
    </xf>
    <xf numFmtId="166" fontId="10" fillId="0" borderId="16" xfId="3" applyNumberFormat="1" applyFont="1" applyBorder="1" applyAlignment="1">
      <alignment horizontal="right"/>
    </xf>
    <xf numFmtId="166" fontId="10" fillId="0" borderId="10" xfId="3" applyNumberFormat="1" applyFont="1" applyBorder="1" applyAlignment="1">
      <alignment horizontal="center"/>
    </xf>
    <xf numFmtId="0" fontId="10" fillId="0" borderId="0" xfId="3" applyFont="1" applyAlignment="1">
      <alignment horizontal="left" wrapText="1"/>
    </xf>
    <xf numFmtId="0" fontId="10" fillId="0" borderId="5" xfId="3" applyFont="1" applyBorder="1" applyAlignment="1">
      <alignment wrapText="1"/>
    </xf>
    <xf numFmtId="166" fontId="3" fillId="0" borderId="1" xfId="0" applyNumberFormat="1" applyFont="1" applyBorder="1"/>
    <xf numFmtId="165" fontId="10" fillId="4" borderId="15" xfId="3" applyNumberFormat="1" applyFont="1" applyFill="1" applyBorder="1" applyAlignment="1">
      <alignment horizontal="right"/>
    </xf>
    <xf numFmtId="165" fontId="10" fillId="4" borderId="15" xfId="3" applyNumberFormat="1" applyFont="1" applyFill="1" applyBorder="1" applyAlignment="1">
      <alignment horizontal="left"/>
    </xf>
    <xf numFmtId="165" fontId="3" fillId="0" borderId="15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left"/>
    </xf>
    <xf numFmtId="0" fontId="3" fillId="5" borderId="6" xfId="0" applyFont="1" applyFill="1" applyBorder="1"/>
    <xf numFmtId="0" fontId="5" fillId="5" borderId="17" xfId="0" applyFont="1" applyFill="1" applyBorder="1" applyAlignment="1">
      <alignment horizontal="right" wrapText="1"/>
    </xf>
    <xf numFmtId="166" fontId="10" fillId="2" borderId="10" xfId="3" applyNumberFormat="1" applyFont="1" applyFill="1" applyBorder="1"/>
    <xf numFmtId="0" fontId="11" fillId="0" borderId="19" xfId="3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166" fontId="10" fillId="2" borderId="5" xfId="3" applyNumberFormat="1" applyFont="1" applyFill="1" applyBorder="1" applyAlignment="1">
      <alignment horizontal="left"/>
    </xf>
    <xf numFmtId="0" fontId="11" fillId="0" borderId="21" xfId="3" applyFont="1" applyBorder="1" applyAlignment="1">
      <alignment horizontal="center"/>
    </xf>
    <xf numFmtId="0" fontId="11" fillId="0" borderId="22" xfId="3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3" borderId="8" xfId="0" applyFont="1" applyFill="1" applyBorder="1"/>
    <xf numFmtId="0" fontId="8" fillId="3" borderId="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3" fillId="2" borderId="15" xfId="0" applyFont="1" applyFill="1" applyBorder="1"/>
    <xf numFmtId="0" fontId="8" fillId="3" borderId="13" xfId="0" applyFont="1" applyFill="1" applyBorder="1"/>
    <xf numFmtId="167" fontId="9" fillId="3" borderId="1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166" fontId="8" fillId="3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left" vertical="center"/>
    </xf>
    <xf numFmtId="165" fontId="8" fillId="3" borderId="8" xfId="0" applyNumberFormat="1" applyFont="1" applyFill="1" applyBorder="1" applyAlignment="1">
      <alignment horizontal="left"/>
    </xf>
    <xf numFmtId="0" fontId="8" fillId="4" borderId="5" xfId="0" applyFont="1" applyFill="1" applyBorder="1"/>
    <xf numFmtId="0" fontId="8" fillId="4" borderId="15" xfId="0" applyFont="1" applyFill="1" applyBorder="1" applyAlignment="1">
      <alignment horizontal="left"/>
    </xf>
    <xf numFmtId="165" fontId="8" fillId="4" borderId="15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165" fontId="8" fillId="4" borderId="15" xfId="0" applyNumberFormat="1" applyFont="1" applyFill="1" applyBorder="1" applyAlignment="1">
      <alignment horizontal="left"/>
    </xf>
    <xf numFmtId="0" fontId="9" fillId="3" borderId="5" xfId="0" applyFont="1" applyFill="1" applyBorder="1"/>
    <xf numFmtId="0" fontId="9" fillId="3" borderId="15" xfId="0" applyFont="1" applyFill="1" applyBorder="1"/>
    <xf numFmtId="165" fontId="8" fillId="3" borderId="15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center"/>
    </xf>
    <xf numFmtId="4" fontId="3" fillId="0" borderId="4" xfId="0" applyNumberFormat="1" applyFont="1" applyBorder="1"/>
    <xf numFmtId="165" fontId="8" fillId="3" borderId="15" xfId="0" applyNumberFormat="1" applyFont="1" applyFill="1" applyBorder="1" applyAlignment="1">
      <alignment horizontal="left"/>
    </xf>
    <xf numFmtId="0" fontId="10" fillId="0" borderId="5" xfId="0" applyFont="1" applyBorder="1"/>
    <xf numFmtId="165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66" fontId="3" fillId="0" borderId="10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left"/>
    </xf>
    <xf numFmtId="165" fontId="9" fillId="0" borderId="15" xfId="0" applyNumberFormat="1" applyFont="1" applyBorder="1" applyAlignment="1">
      <alignment horizontal="left"/>
    </xf>
    <xf numFmtId="165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9" fillId="4" borderId="4" xfId="0" applyFont="1" applyFill="1" applyBorder="1"/>
    <xf numFmtId="165" fontId="10" fillId="4" borderId="15" xfId="0" applyNumberFormat="1" applyFont="1" applyFill="1" applyBorder="1" applyAlignment="1">
      <alignment horizontal="right"/>
    </xf>
    <xf numFmtId="165" fontId="10" fillId="4" borderId="15" xfId="0" applyNumberFormat="1" applyFont="1" applyFill="1" applyBorder="1" applyAlignment="1">
      <alignment horizontal="left"/>
    </xf>
    <xf numFmtId="0" fontId="9" fillId="3" borderId="0" xfId="0" applyFont="1" applyFill="1" applyAlignment="1">
      <alignment horizontal="right"/>
    </xf>
    <xf numFmtId="165" fontId="9" fillId="3" borderId="15" xfId="0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166" fontId="8" fillId="3" borderId="10" xfId="0" applyNumberFormat="1" applyFont="1" applyFill="1" applyBorder="1" applyAlignment="1">
      <alignment horizontal="right"/>
    </xf>
    <xf numFmtId="165" fontId="9" fillId="3" borderId="15" xfId="0" applyNumberFormat="1" applyFont="1" applyFill="1" applyBorder="1" applyAlignment="1">
      <alignment horizontal="left"/>
    </xf>
    <xf numFmtId="0" fontId="10" fillId="0" borderId="15" xfId="0" applyFont="1" applyBorder="1"/>
    <xf numFmtId="166" fontId="10" fillId="0" borderId="15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5" xfId="0" applyFont="1" applyBorder="1" applyAlignment="1">
      <alignment wrapText="1"/>
    </xf>
    <xf numFmtId="0" fontId="3" fillId="0" borderId="0" xfId="0" applyFont="1" applyAlignment="1">
      <alignment horizontal="right"/>
    </xf>
    <xf numFmtId="0" fontId="10" fillId="4" borderId="15" xfId="0" applyFont="1" applyFill="1" applyBorder="1"/>
    <xf numFmtId="165" fontId="10" fillId="4" borderId="5" xfId="0" applyNumberFormat="1" applyFont="1" applyFill="1" applyBorder="1" applyAlignment="1">
      <alignment horizontal="right"/>
    </xf>
    <xf numFmtId="166" fontId="3" fillId="0" borderId="4" xfId="0" applyNumberFormat="1" applyFont="1" applyBorder="1"/>
    <xf numFmtId="0" fontId="3" fillId="4" borderId="4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wrapText="1"/>
    </xf>
    <xf numFmtId="165" fontId="8" fillId="3" borderId="15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65" fontId="9" fillId="3" borderId="15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right" vertical="center"/>
    </xf>
    <xf numFmtId="165" fontId="9" fillId="3" borderId="15" xfId="0" applyNumberFormat="1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wrapText="1"/>
    </xf>
    <xf numFmtId="0" fontId="13" fillId="5" borderId="17" xfId="0" applyFont="1" applyFill="1" applyBorder="1" applyAlignment="1">
      <alignment horizontal="right" vertical="center"/>
    </xf>
    <xf numFmtId="0" fontId="14" fillId="5" borderId="18" xfId="0" applyFont="1" applyFill="1" applyBorder="1" applyAlignment="1">
      <alignment horizontal="right" vertical="center" wrapText="1"/>
    </xf>
    <xf numFmtId="165" fontId="14" fillId="5" borderId="18" xfId="0" applyNumberFormat="1" applyFont="1" applyFill="1" applyBorder="1" applyAlignment="1">
      <alignment horizontal="right" vertical="center"/>
    </xf>
    <xf numFmtId="0" fontId="13" fillId="5" borderId="6" xfId="0" applyFont="1" applyFill="1" applyBorder="1" applyAlignment="1">
      <alignment horizontal="right" vertical="center"/>
    </xf>
    <xf numFmtId="0" fontId="13" fillId="5" borderId="23" xfId="0" applyFont="1" applyFill="1" applyBorder="1" applyAlignment="1">
      <alignment horizontal="right" vertical="center"/>
    </xf>
    <xf numFmtId="0" fontId="13" fillId="5" borderId="23" xfId="0" applyFont="1" applyFill="1" applyBorder="1" applyAlignment="1">
      <alignment horizontal="center" vertical="center"/>
    </xf>
    <xf numFmtId="166" fontId="15" fillId="5" borderId="23" xfId="0" applyNumberFormat="1" applyFont="1" applyFill="1" applyBorder="1" applyAlignment="1">
      <alignment horizontal="right" vertical="center"/>
    </xf>
    <xf numFmtId="165" fontId="14" fillId="5" borderId="18" xfId="0" applyNumberFormat="1" applyFont="1" applyFill="1" applyBorder="1" applyAlignment="1">
      <alignment horizontal="left" vertical="center"/>
    </xf>
    <xf numFmtId="0" fontId="10" fillId="0" borderId="0" xfId="0" applyFont="1"/>
    <xf numFmtId="0" fontId="3" fillId="0" borderId="10" xfId="0" applyFont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right"/>
    </xf>
    <xf numFmtId="0" fontId="8" fillId="3" borderId="0" xfId="0" applyFont="1" applyFill="1"/>
    <xf numFmtId="0" fontId="8" fillId="3" borderId="5" xfId="0" applyFont="1" applyFill="1" applyBorder="1" applyAlignment="1">
      <alignment horizontal="center"/>
    </xf>
    <xf numFmtId="165" fontId="8" fillId="3" borderId="0" xfId="0" applyNumberFormat="1" applyFont="1" applyFill="1" applyAlignment="1">
      <alignment horizontal="right"/>
    </xf>
    <xf numFmtId="165" fontId="8" fillId="3" borderId="10" xfId="0" applyNumberFormat="1" applyFont="1" applyFill="1" applyBorder="1" applyAlignment="1">
      <alignment horizontal="right"/>
    </xf>
    <xf numFmtId="165" fontId="8" fillId="3" borderId="9" xfId="0" applyNumberFormat="1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165" fontId="10" fillId="0" borderId="0" xfId="0" applyNumberFormat="1" applyFont="1" applyAlignment="1">
      <alignment horizontal="right"/>
    </xf>
    <xf numFmtId="166" fontId="3" fillId="4" borderId="1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3" borderId="0" xfId="0" applyFont="1" applyFill="1"/>
    <xf numFmtId="165" fontId="9" fillId="3" borderId="0" xfId="0" applyNumberFormat="1" applyFont="1" applyFill="1" applyAlignment="1">
      <alignment horizontal="right"/>
    </xf>
    <xf numFmtId="0" fontId="3" fillId="0" borderId="5" xfId="0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0" borderId="15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9" fillId="0" borderId="0" xfId="0" applyFont="1"/>
    <xf numFmtId="168" fontId="3" fillId="0" borderId="0" xfId="0" applyNumberFormat="1" applyFont="1"/>
    <xf numFmtId="167" fontId="3" fillId="0" borderId="10" xfId="0" applyNumberFormat="1" applyFont="1" applyBorder="1" applyAlignment="1">
      <alignment horizontal="right"/>
    </xf>
    <xf numFmtId="166" fontId="8" fillId="3" borderId="16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10" fillId="3" borderId="0" xfId="0" applyFont="1" applyFill="1"/>
    <xf numFmtId="165" fontId="9" fillId="3" borderId="0" xfId="0" applyNumberFormat="1" applyFont="1" applyFill="1" applyAlignment="1">
      <alignment horizontal="left"/>
    </xf>
    <xf numFmtId="0" fontId="13" fillId="2" borderId="6" xfId="0" applyFont="1" applyFill="1" applyBorder="1" applyAlignment="1">
      <alignment horizontal="right" vertical="center"/>
    </xf>
    <xf numFmtId="166" fontId="15" fillId="2" borderId="17" xfId="0" applyNumberFormat="1" applyFont="1" applyFill="1" applyBorder="1" applyAlignment="1">
      <alignment horizontal="right" vertical="center"/>
    </xf>
    <xf numFmtId="165" fontId="15" fillId="2" borderId="6" xfId="0" applyNumberFormat="1" applyFont="1" applyFill="1" applyBorder="1" applyAlignment="1">
      <alignment horizontal="right" vertical="center"/>
    </xf>
    <xf numFmtId="166" fontId="15" fillId="2" borderId="6" xfId="0" applyNumberFormat="1" applyFont="1" applyFill="1" applyBorder="1" applyAlignment="1">
      <alignment horizontal="right" vertical="center"/>
    </xf>
    <xf numFmtId="165" fontId="15" fillId="2" borderId="18" xfId="0" applyNumberFormat="1" applyFont="1" applyFill="1" applyBorder="1" applyAlignment="1">
      <alignment horizontal="right" vertical="center"/>
    </xf>
    <xf numFmtId="166" fontId="15" fillId="2" borderId="23" xfId="0" applyNumberFormat="1" applyFont="1" applyFill="1" applyBorder="1" applyAlignment="1">
      <alignment horizontal="right" vertical="center"/>
    </xf>
    <xf numFmtId="166" fontId="15" fillId="2" borderId="23" xfId="0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165" fontId="15" fillId="2" borderId="18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right"/>
    </xf>
    <xf numFmtId="166" fontId="15" fillId="2" borderId="18" xfId="0" applyNumberFormat="1" applyFont="1" applyFill="1" applyBorder="1" applyAlignment="1">
      <alignment horizontal="right" vertical="center"/>
    </xf>
    <xf numFmtId="166" fontId="14" fillId="2" borderId="17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center" vertical="center"/>
    </xf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166" fontId="3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12" fillId="2" borderId="18" xfId="0" applyFont="1" applyFill="1" applyBorder="1" applyAlignment="1">
      <alignment horizontal="right" vertical="center"/>
    </xf>
    <xf numFmtId="165" fontId="12" fillId="2" borderId="18" xfId="0" applyNumberFormat="1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center" vertical="center"/>
    </xf>
    <xf numFmtId="166" fontId="12" fillId="2" borderId="23" xfId="0" applyNumberFormat="1" applyFont="1" applyFill="1" applyBorder="1" applyAlignment="1">
      <alignment horizontal="right" vertical="center"/>
    </xf>
    <xf numFmtId="165" fontId="12" fillId="2" borderId="18" xfId="0" applyNumberFormat="1" applyFont="1" applyFill="1" applyBorder="1" applyAlignment="1">
      <alignment horizontal="left" vertical="center"/>
    </xf>
    <xf numFmtId="166" fontId="3" fillId="0" borderId="17" xfId="0" applyNumberFormat="1" applyFont="1" applyBorder="1" applyAlignment="1">
      <alignment horizontal="right"/>
    </xf>
    <xf numFmtId="0" fontId="15" fillId="2" borderId="6" xfId="0" applyFont="1" applyFill="1" applyBorder="1" applyAlignment="1">
      <alignment horizontal="right" vertical="center"/>
    </xf>
    <xf numFmtId="0" fontId="15" fillId="2" borderId="23" xfId="0" applyFont="1" applyFill="1" applyBorder="1" applyAlignment="1">
      <alignment horizontal="right" vertical="center"/>
    </xf>
    <xf numFmtId="0" fontId="15" fillId="2" borderId="23" xfId="0" applyFont="1" applyFill="1" applyBorder="1" applyAlignment="1">
      <alignment horizontal="center" vertical="center"/>
    </xf>
    <xf numFmtId="166" fontId="3" fillId="4" borderId="19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/>
    </xf>
    <xf numFmtId="0" fontId="10" fillId="2" borderId="5" xfId="0" applyFont="1" applyFill="1" applyBorder="1"/>
    <xf numFmtId="166" fontId="3" fillId="4" borderId="2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0" fontId="3" fillId="2" borderId="24" xfId="0" applyFont="1" applyFill="1" applyBorder="1"/>
    <xf numFmtId="0" fontId="8" fillId="2" borderId="25" xfId="0" applyFont="1" applyFill="1" applyBorder="1" applyAlignment="1">
      <alignment horizontal="right"/>
    </xf>
    <xf numFmtId="166" fontId="9" fillId="2" borderId="26" xfId="1" applyNumberFormat="1" applyFont="1" applyFill="1" applyBorder="1" applyAlignment="1" applyProtection="1">
      <alignment horizontal="right"/>
    </xf>
    <xf numFmtId="165" fontId="9" fillId="2" borderId="26" xfId="1" applyNumberFormat="1" applyFont="1" applyFill="1" applyBorder="1" applyAlignment="1" applyProtection="1">
      <alignment horizontal="center"/>
    </xf>
    <xf numFmtId="0" fontId="3" fillId="2" borderId="27" xfId="0" applyFont="1" applyFill="1" applyBorder="1"/>
    <xf numFmtId="0" fontId="3" fillId="2" borderId="28" xfId="0" applyFont="1" applyFill="1" applyBorder="1" applyAlignment="1">
      <alignment horizontal="right"/>
    </xf>
    <xf numFmtId="165" fontId="3" fillId="4" borderId="29" xfId="0" applyNumberFormat="1" applyFont="1" applyFill="1" applyBorder="1" applyAlignment="1">
      <alignment horizontal="right"/>
    </xf>
    <xf numFmtId="166" fontId="3" fillId="4" borderId="29" xfId="0" applyNumberFormat="1" applyFont="1" applyFill="1" applyBorder="1" applyAlignment="1">
      <alignment horizontal="right"/>
    </xf>
    <xf numFmtId="165" fontId="3" fillId="4" borderId="29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/>
    <xf numFmtId="0" fontId="3" fillId="2" borderId="30" xfId="0" applyFont="1" applyFill="1" applyBorder="1"/>
    <xf numFmtId="0" fontId="8" fillId="2" borderId="31" xfId="0" applyFont="1" applyFill="1" applyBorder="1" applyAlignment="1">
      <alignment horizontal="right"/>
    </xf>
    <xf numFmtId="166" fontId="9" fillId="0" borderId="29" xfId="1" applyNumberFormat="1" applyFont="1" applyBorder="1" applyAlignment="1" applyProtection="1">
      <alignment horizontal="right"/>
    </xf>
    <xf numFmtId="165" fontId="9" fillId="0" borderId="29" xfId="1" applyNumberFormat="1" applyFont="1" applyBorder="1" applyAlignment="1" applyProtection="1">
      <alignment horizontal="center"/>
    </xf>
    <xf numFmtId="0" fontId="3" fillId="2" borderId="32" xfId="0" applyFont="1" applyFill="1" applyBorder="1"/>
    <xf numFmtId="0" fontId="3" fillId="2" borderId="33" xfId="0" applyFont="1" applyFill="1" applyBorder="1" applyAlignment="1">
      <alignment horizontal="right"/>
    </xf>
    <xf numFmtId="0" fontId="3" fillId="2" borderId="3" xfId="0" applyFont="1" applyFill="1" applyBorder="1"/>
    <xf numFmtId="0" fontId="8" fillId="2" borderId="34" xfId="0" applyFont="1" applyFill="1" applyBorder="1" applyAlignment="1">
      <alignment horizontal="right"/>
    </xf>
    <xf numFmtId="165" fontId="8" fillId="2" borderId="35" xfId="0" applyNumberFormat="1" applyFont="1" applyFill="1" applyBorder="1" applyAlignment="1">
      <alignment horizontal="right"/>
    </xf>
    <xf numFmtId="165" fontId="8" fillId="2" borderId="35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0" borderId="36" xfId="0" applyFont="1" applyBorder="1"/>
    <xf numFmtId="0" fontId="3" fillId="0" borderId="37" xfId="0" applyFont="1" applyBorder="1"/>
    <xf numFmtId="165" fontId="3" fillId="0" borderId="37" xfId="0" applyNumberFormat="1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65" fontId="10" fillId="0" borderId="37" xfId="0" applyNumberFormat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165" fontId="3" fillId="0" borderId="30" xfId="0" applyNumberFormat="1" applyFont="1" applyBorder="1" applyAlignment="1">
      <alignment horizontal="left"/>
    </xf>
    <xf numFmtId="0" fontId="3" fillId="6" borderId="1" xfId="0" applyFont="1" applyFill="1" applyBorder="1"/>
    <xf numFmtId="165" fontId="10" fillId="6" borderId="15" xfId="3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3" fillId="4" borderId="29" xfId="0" applyNumberFormat="1" applyFont="1" applyFill="1" applyBorder="1" applyAlignment="1">
      <alignment horizontal="right"/>
    </xf>
    <xf numFmtId="165" fontId="8" fillId="2" borderId="35" xfId="0" applyNumberFormat="1" applyFont="1" applyFill="1" applyBorder="1" applyAlignment="1">
      <alignment horizontal="right"/>
    </xf>
    <xf numFmtId="165" fontId="9" fillId="0" borderId="29" xfId="1" applyNumberFormat="1" applyFont="1" applyBorder="1" applyAlignment="1" applyProtection="1">
      <alignment horizontal="right"/>
    </xf>
    <xf numFmtId="0" fontId="10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right"/>
    </xf>
    <xf numFmtId="165" fontId="9" fillId="2" borderId="2" xfId="1" applyNumberFormat="1" applyFont="1" applyFill="1" applyBorder="1" applyAlignment="1" applyProtection="1">
      <alignment horizontal="right"/>
    </xf>
    <xf numFmtId="165" fontId="9" fillId="2" borderId="26" xfId="1" applyNumberFormat="1" applyFont="1" applyFill="1" applyBorder="1" applyAlignment="1" applyProtection="1">
      <alignment horizontal="right"/>
    </xf>
    <xf numFmtId="0" fontId="8" fillId="3" borderId="12" xfId="0" applyFont="1" applyFill="1" applyBorder="1" applyAlignment="1">
      <alignment horizontal="right"/>
    </xf>
    <xf numFmtId="167" fontId="9" fillId="3" borderId="12" xfId="0" applyNumberFormat="1" applyFont="1" applyFill="1" applyBorder="1" applyAlignment="1">
      <alignment horizontal="right"/>
    </xf>
    <xf numFmtId="0" fontId="12" fillId="2" borderId="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6" fontId="5" fillId="5" borderId="17" xfId="0" applyNumberFormat="1" applyFont="1" applyFill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4" fillId="2" borderId="3" xfId="3" applyFont="1" applyFill="1" applyBorder="1" applyAlignment="1">
      <alignment horizontal="center" vertical="center"/>
    </xf>
    <xf numFmtId="166" fontId="5" fillId="5" borderId="18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center"/>
    </xf>
    <xf numFmtId="0" fontId="10" fillId="0" borderId="5" xfId="0" applyFont="1" applyFill="1" applyBorder="1"/>
    <xf numFmtId="165" fontId="3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10" fillId="0" borderId="15" xfId="0" applyFont="1" applyFill="1" applyBorder="1"/>
    <xf numFmtId="165" fontId="3" fillId="0" borderId="1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5" fontId="10" fillId="0" borderId="5" xfId="0" applyNumberFormat="1" applyFont="1" applyFill="1" applyBorder="1" applyAlignment="1">
      <alignment horizontal="right"/>
    </xf>
  </cellXfs>
  <cellStyles count="4">
    <cellStyle name="Currency" xfId="1" builtinId="4"/>
    <cellStyle name="Komma 2" xfId="2" xr:uid="{00000000-0005-0000-0000-000006000000}"/>
    <cellStyle name="Normal" xfId="0" builtinId="0"/>
    <cellStyle name="Standard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2300DC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FF3366"/>
      <rgbColor rgb="FFFFFFCC"/>
      <rgbColor rgb="FFCCFFFF"/>
      <rgbColor rgb="FF660066"/>
      <rgbColor rgb="FFFF420E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6D"/>
      <rgbColor rgb="FFBFBFBF"/>
      <rgbColor rgb="FFFF99CC"/>
      <rgbColor rgb="FFCC99FF"/>
      <rgbColor rgb="FFFFCC99"/>
      <rgbColor rgb="FF3366FF"/>
      <rgbColor rgb="FF66FF99"/>
      <rgbColor rgb="FF66FF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2B2B2B"/>
      <rgbColor rgb="FF993300"/>
      <rgbColor rgb="FF993366"/>
      <rgbColor rgb="FF444444"/>
      <rgbColor rgb="FF32323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176"/>
  <sheetViews>
    <sheetView tabSelected="1" topLeftCell="A35" zoomScaleNormal="100" workbookViewId="0">
      <selection activeCell="R19" sqref="R19"/>
    </sheetView>
  </sheetViews>
  <sheetFormatPr baseColWidth="10" defaultColWidth="11.5" defaultRowHeight="15"/>
  <cols>
    <col min="1" max="1" width="3.83203125" style="9" customWidth="1"/>
    <col min="2" max="2" width="9.5" style="9" customWidth="1"/>
    <col min="3" max="3" width="43.1640625" style="9" customWidth="1"/>
    <col min="4" max="4" width="25.1640625" style="10" hidden="1" customWidth="1"/>
    <col min="5" max="5" width="3.83203125" style="11" hidden="1" customWidth="1"/>
    <col min="6" max="6" width="22.1640625" style="10" customWidth="1"/>
    <col min="7" max="7" width="4.33203125" style="11" customWidth="1"/>
    <col min="8" max="8" width="21.6640625" style="10" customWidth="1"/>
    <col min="9" max="9" width="4.5" style="12" customWidth="1"/>
    <col min="10" max="10" width="23" style="11" customWidth="1"/>
    <col min="11" max="11" width="4.1640625" style="12" customWidth="1"/>
    <col min="12" max="12" width="3.83203125" style="11" customWidth="1"/>
    <col min="13" max="13" width="15.83203125" style="9" hidden="1" customWidth="1"/>
    <col min="14" max="14" width="13.6640625" style="9" hidden="1" customWidth="1"/>
    <col min="15" max="15" width="18" style="9" hidden="1" customWidth="1"/>
    <col min="16" max="16" width="14.33203125" style="9" hidden="1" customWidth="1"/>
    <col min="17" max="17" width="60" style="10" customWidth="1"/>
    <col min="18" max="18" width="13.5" style="9" customWidth="1"/>
    <col min="19" max="1017" width="11.5" style="9"/>
  </cols>
  <sheetData>
    <row r="1" spans="1:18" ht="42" customHeight="1">
      <c r="A1" s="13"/>
      <c r="B1" s="276" t="s">
        <v>226</v>
      </c>
      <c r="C1" s="276"/>
      <c r="D1" s="276"/>
      <c r="E1" s="276"/>
      <c r="F1" s="276"/>
      <c r="G1" s="276"/>
      <c r="H1" s="276"/>
      <c r="I1" s="276"/>
      <c r="J1" s="8"/>
      <c r="K1" s="8"/>
      <c r="L1" s="14"/>
      <c r="M1" s="15"/>
      <c r="Q1" s="11"/>
    </row>
    <row r="2" spans="1:18" s="19" customFormat="1" ht="28.5" customHeight="1">
      <c r="A2" s="16"/>
      <c r="B2" s="273" t="s">
        <v>0</v>
      </c>
      <c r="C2" s="273"/>
      <c r="D2" s="273"/>
      <c r="E2" s="273"/>
      <c r="F2" s="273"/>
      <c r="G2" s="273"/>
      <c r="H2" s="273"/>
      <c r="I2" s="273"/>
      <c r="J2" s="7"/>
      <c r="K2" s="7"/>
      <c r="L2" s="17"/>
      <c r="M2" s="18"/>
      <c r="Q2" s="20"/>
    </row>
    <row r="3" spans="1:18">
      <c r="A3" s="16"/>
      <c r="B3" s="21"/>
      <c r="C3" s="22"/>
      <c r="D3" s="23" t="s">
        <v>1</v>
      </c>
      <c r="E3" s="24"/>
      <c r="F3" s="25" t="s">
        <v>1</v>
      </c>
      <c r="G3" s="26"/>
      <c r="H3" s="27" t="s">
        <v>2</v>
      </c>
      <c r="I3" s="28"/>
      <c r="J3" s="27" t="s">
        <v>3</v>
      </c>
      <c r="K3" s="28"/>
      <c r="L3" s="29"/>
      <c r="M3" s="30"/>
      <c r="Q3" s="31"/>
    </row>
    <row r="4" spans="1:18">
      <c r="A4" s="16"/>
      <c r="B4" s="32" t="s">
        <v>4</v>
      </c>
      <c r="C4" s="33" t="s">
        <v>5</v>
      </c>
      <c r="D4" s="34" t="s">
        <v>6</v>
      </c>
      <c r="E4" s="35"/>
      <c r="F4" s="36" t="s">
        <v>7</v>
      </c>
      <c r="G4" s="37"/>
      <c r="H4" s="38" t="s">
        <v>8</v>
      </c>
      <c r="I4" s="39"/>
      <c r="J4" s="38" t="s">
        <v>9</v>
      </c>
      <c r="K4" s="39"/>
      <c r="L4" s="29"/>
      <c r="M4" s="30"/>
      <c r="Q4" s="40" t="s">
        <v>10</v>
      </c>
    </row>
    <row r="5" spans="1:18">
      <c r="A5" s="16"/>
      <c r="B5" s="41" t="s">
        <v>11</v>
      </c>
      <c r="C5" s="42" t="s">
        <v>12</v>
      </c>
      <c r="D5" s="43">
        <v>6772539.3899999997</v>
      </c>
      <c r="E5" s="44"/>
      <c r="F5" s="45">
        <v>11176709.279999999</v>
      </c>
      <c r="G5" s="46"/>
      <c r="H5" s="45">
        <v>11585924.289999999</v>
      </c>
      <c r="I5" s="47"/>
      <c r="J5" s="256">
        <f>26000*197.51+26500*229.9</f>
        <v>11227610</v>
      </c>
      <c r="K5" s="47"/>
      <c r="L5" s="48"/>
      <c r="M5" s="49"/>
      <c r="N5" s="50"/>
      <c r="Q5" s="51" t="s">
        <v>13</v>
      </c>
      <c r="R5" s="255"/>
    </row>
    <row r="6" spans="1:18">
      <c r="A6" s="16"/>
      <c r="B6" s="41" t="s">
        <v>14</v>
      </c>
      <c r="C6" s="42" t="s">
        <v>15</v>
      </c>
      <c r="D6" s="43">
        <v>896.17</v>
      </c>
      <c r="E6" s="44"/>
      <c r="F6" s="45">
        <v>633.86</v>
      </c>
      <c r="G6" s="52"/>
      <c r="H6" s="45">
        <v>400</v>
      </c>
      <c r="I6" s="53"/>
      <c r="J6" s="45">
        <v>400</v>
      </c>
      <c r="K6" s="53"/>
      <c r="L6" s="48"/>
      <c r="M6" s="49"/>
      <c r="Q6" s="51"/>
    </row>
    <row r="7" spans="1:18" hidden="1">
      <c r="A7" s="16"/>
      <c r="B7" s="41" t="s">
        <v>16</v>
      </c>
      <c r="C7" s="42" t="s">
        <v>17</v>
      </c>
      <c r="D7" s="43">
        <v>0</v>
      </c>
      <c r="E7" s="44"/>
      <c r="F7" s="45">
        <v>0</v>
      </c>
      <c r="G7" s="52"/>
      <c r="H7" s="45"/>
      <c r="I7" s="53"/>
      <c r="J7" s="45"/>
      <c r="K7" s="53"/>
      <c r="L7" s="48"/>
      <c r="M7" s="49"/>
      <c r="Q7" s="51"/>
    </row>
    <row r="8" spans="1:18" hidden="1">
      <c r="A8" s="16"/>
      <c r="B8" s="41" t="s">
        <v>18</v>
      </c>
      <c r="C8" s="42" t="s">
        <v>19</v>
      </c>
      <c r="D8" s="43">
        <v>0</v>
      </c>
      <c r="E8" s="44"/>
      <c r="F8" s="45">
        <v>0</v>
      </c>
      <c r="G8" s="52"/>
      <c r="H8" s="45"/>
      <c r="I8" s="53"/>
      <c r="J8" s="45"/>
      <c r="K8" s="53"/>
      <c r="L8" s="48"/>
      <c r="M8" s="49"/>
      <c r="Q8" s="51"/>
    </row>
    <row r="9" spans="1:18" hidden="1">
      <c r="A9" s="16"/>
      <c r="B9" s="41" t="s">
        <v>20</v>
      </c>
      <c r="C9" s="42" t="s">
        <v>21</v>
      </c>
      <c r="D9" s="43">
        <v>0</v>
      </c>
      <c r="E9" s="44"/>
      <c r="F9" s="45">
        <v>0</v>
      </c>
      <c r="G9" s="52"/>
      <c r="H9" s="45"/>
      <c r="I9" s="53"/>
      <c r="J9" s="45"/>
      <c r="K9" s="53"/>
      <c r="L9" s="48"/>
      <c r="M9" s="49"/>
      <c r="Q9" s="51"/>
    </row>
    <row r="10" spans="1:18" ht="39" hidden="1" customHeight="1">
      <c r="A10" s="16"/>
      <c r="B10" s="54" t="s">
        <v>22</v>
      </c>
      <c r="C10" s="55" t="s">
        <v>23</v>
      </c>
      <c r="D10" s="43">
        <v>0</v>
      </c>
      <c r="E10" s="44"/>
      <c r="F10" s="45">
        <v>0</v>
      </c>
      <c r="G10" s="52"/>
      <c r="H10" s="45"/>
      <c r="I10" s="53"/>
      <c r="J10" s="45"/>
      <c r="K10" s="53"/>
      <c r="L10" s="48"/>
      <c r="M10" s="49"/>
      <c r="O10" s="56"/>
      <c r="Q10" s="51"/>
    </row>
    <row r="11" spans="1:18" ht="16">
      <c r="A11" s="16"/>
      <c r="B11" s="54" t="s">
        <v>24</v>
      </c>
      <c r="C11" s="55" t="s">
        <v>25</v>
      </c>
      <c r="D11" s="43">
        <v>5809.12</v>
      </c>
      <c r="E11" s="44"/>
      <c r="F11" s="57">
        <v>0</v>
      </c>
      <c r="G11" s="52"/>
      <c r="H11" s="57">
        <v>0</v>
      </c>
      <c r="I11" s="53"/>
      <c r="J11" s="57">
        <v>0</v>
      </c>
      <c r="K11" s="53"/>
      <c r="L11" s="48"/>
      <c r="M11" s="49"/>
      <c r="O11" s="56"/>
      <c r="Q11" s="58"/>
    </row>
    <row r="12" spans="1:18" ht="16">
      <c r="A12" s="16"/>
      <c r="B12" s="54" t="s">
        <v>26</v>
      </c>
      <c r="C12" s="55" t="s">
        <v>27</v>
      </c>
      <c r="D12" s="43">
        <v>1.57</v>
      </c>
      <c r="E12" s="44"/>
      <c r="F12" s="45">
        <v>1943.82</v>
      </c>
      <c r="G12" s="52"/>
      <c r="H12" s="45">
        <v>1000</v>
      </c>
      <c r="I12" s="53"/>
      <c r="J12" s="45">
        <v>1200</v>
      </c>
      <c r="K12" s="53"/>
      <c r="L12" s="48"/>
      <c r="M12" s="49"/>
      <c r="Q12" s="51"/>
    </row>
    <row r="13" spans="1:18" ht="32.25" customHeight="1">
      <c r="A13" s="16"/>
      <c r="B13" s="41" t="s">
        <v>28</v>
      </c>
      <c r="C13" s="42" t="s">
        <v>29</v>
      </c>
      <c r="D13" s="43">
        <v>50748.480000000003</v>
      </c>
      <c r="E13" s="44"/>
      <c r="F13" s="45">
        <v>48380.87</v>
      </c>
      <c r="G13" s="52"/>
      <c r="H13" s="45">
        <v>60000</v>
      </c>
      <c r="I13" s="53"/>
      <c r="J13" s="45">
        <v>60000</v>
      </c>
      <c r="K13" s="53"/>
      <c r="L13" s="48"/>
      <c r="M13" s="49"/>
      <c r="Q13" s="51"/>
    </row>
    <row r="14" spans="1:18">
      <c r="A14" s="16"/>
      <c r="B14" s="41" t="s">
        <v>30</v>
      </c>
      <c r="C14" s="42" t="s">
        <v>31</v>
      </c>
      <c r="D14" s="43">
        <v>6090391.9800000004</v>
      </c>
      <c r="E14" s="44"/>
      <c r="F14" s="45">
        <v>242228.28</v>
      </c>
      <c r="G14" s="52"/>
      <c r="H14" s="45">
        <v>0</v>
      </c>
      <c r="I14" s="53"/>
      <c r="J14" s="45">
        <v>244600</v>
      </c>
      <c r="K14" s="53"/>
      <c r="L14" s="48"/>
      <c r="M14" s="49"/>
      <c r="Q14" s="51" t="s">
        <v>32</v>
      </c>
    </row>
    <row r="15" spans="1:18">
      <c r="A15" s="16"/>
      <c r="B15" s="41" t="s">
        <v>33</v>
      </c>
      <c r="C15" s="42" t="s">
        <v>34</v>
      </c>
      <c r="D15" s="43">
        <v>728969.59</v>
      </c>
      <c r="E15" s="44"/>
      <c r="F15" s="45">
        <v>0</v>
      </c>
      <c r="G15" s="52"/>
      <c r="H15" s="59">
        <v>0</v>
      </c>
      <c r="I15" s="53"/>
      <c r="J15" s="59">
        <f>123277.49+82364+58.01-1500</f>
        <v>204199.5</v>
      </c>
      <c r="K15" s="53"/>
      <c r="L15" s="48"/>
      <c r="M15" s="49"/>
      <c r="Q15" s="60" t="s">
        <v>35</v>
      </c>
    </row>
    <row r="16" spans="1:18" ht="26.25" customHeight="1">
      <c r="A16" s="16"/>
      <c r="B16" s="61"/>
      <c r="C16" s="62" t="s">
        <v>36</v>
      </c>
      <c r="D16" s="277">
        <f>SUM(D5:D15)</f>
        <v>13649356.300000001</v>
      </c>
      <c r="E16" s="277"/>
      <c r="F16" s="271">
        <f>SUM(F5:F15)</f>
        <v>11469896.109999998</v>
      </c>
      <c r="G16" s="271"/>
      <c r="H16" s="271">
        <f>SUM(H5:H15)</f>
        <v>11647324.289999999</v>
      </c>
      <c r="I16" s="271"/>
      <c r="J16" s="271">
        <f>SUM(J5:J15)</f>
        <v>11738009.5</v>
      </c>
      <c r="K16" s="271"/>
      <c r="L16" s="63"/>
      <c r="M16" s="49"/>
      <c r="Q16" s="11"/>
    </row>
    <row r="17" spans="1:17">
      <c r="A17" s="16"/>
      <c r="B17" s="272"/>
      <c r="C17" s="272"/>
      <c r="D17" s="272"/>
      <c r="E17" s="272"/>
      <c r="F17" s="272"/>
      <c r="G17" s="272"/>
      <c r="H17" s="272"/>
      <c r="I17" s="272"/>
      <c r="J17" s="64"/>
      <c r="K17" s="65"/>
      <c r="L17" s="66"/>
      <c r="M17" s="30"/>
      <c r="Q17" s="11"/>
    </row>
    <row r="18" spans="1:17" ht="8.25" customHeight="1">
      <c r="A18" s="16"/>
      <c r="B18" s="272"/>
      <c r="C18" s="272"/>
      <c r="D18" s="272"/>
      <c r="E18" s="272"/>
      <c r="F18" s="272"/>
      <c r="G18" s="272"/>
      <c r="H18" s="272"/>
      <c r="I18" s="272"/>
      <c r="J18" s="67"/>
      <c r="K18" s="68"/>
      <c r="L18" s="69"/>
      <c r="M18" s="30"/>
      <c r="Q18" s="11"/>
    </row>
    <row r="19" spans="1:17" ht="33" customHeight="1">
      <c r="A19" s="16"/>
      <c r="B19" s="273" t="s">
        <v>37</v>
      </c>
      <c r="C19" s="273"/>
      <c r="D19" s="273"/>
      <c r="E19" s="273"/>
      <c r="F19" s="273"/>
      <c r="G19" s="273"/>
      <c r="H19" s="273"/>
      <c r="I19" s="273"/>
      <c r="J19" s="7"/>
      <c r="K19" s="7"/>
      <c r="L19" s="70"/>
      <c r="M19" s="30"/>
      <c r="Q19" s="11"/>
    </row>
    <row r="20" spans="1:17" ht="34.5" customHeight="1">
      <c r="A20" s="16"/>
      <c r="B20" s="274" t="s">
        <v>38</v>
      </c>
      <c r="C20" s="274"/>
      <c r="D20" s="274" t="s">
        <v>1</v>
      </c>
      <c r="E20" s="274"/>
      <c r="F20" s="274" t="s">
        <v>3</v>
      </c>
      <c r="G20" s="274"/>
      <c r="H20" s="274" t="s">
        <v>3</v>
      </c>
      <c r="I20" s="274"/>
      <c r="J20" s="6"/>
      <c r="K20" s="6"/>
      <c r="L20" s="71"/>
      <c r="M20" s="72"/>
      <c r="Q20" s="11"/>
    </row>
    <row r="21" spans="1:17" ht="16">
      <c r="A21" s="16"/>
      <c r="B21" s="73"/>
      <c r="C21" s="22"/>
      <c r="D21" s="275" t="s">
        <v>1</v>
      </c>
      <c r="E21" s="275"/>
      <c r="F21" s="275" t="s">
        <v>1</v>
      </c>
      <c r="G21" s="275"/>
      <c r="H21" s="275" t="s">
        <v>3</v>
      </c>
      <c r="I21" s="275"/>
      <c r="J21" s="5" t="s">
        <v>3</v>
      </c>
      <c r="K21" s="74"/>
      <c r="L21" s="75"/>
      <c r="M21" s="30"/>
      <c r="Q21" s="11"/>
    </row>
    <row r="22" spans="1:17" ht="16">
      <c r="A22" s="76"/>
      <c r="B22" s="77" t="s">
        <v>4</v>
      </c>
      <c r="C22" s="33" t="s">
        <v>39</v>
      </c>
      <c r="D22" s="267" t="s">
        <v>40</v>
      </c>
      <c r="E22" s="267"/>
      <c r="F22" s="267" t="s">
        <v>7</v>
      </c>
      <c r="G22" s="267"/>
      <c r="H22" s="268" t="s">
        <v>41</v>
      </c>
      <c r="I22" s="268"/>
      <c r="J22" s="4" t="s">
        <v>9</v>
      </c>
      <c r="K22" s="78"/>
      <c r="L22" s="75"/>
      <c r="M22" s="30"/>
      <c r="Q22" s="11"/>
    </row>
    <row r="23" spans="1:17" ht="21" customHeight="1">
      <c r="A23" s="76"/>
      <c r="B23" s="79" t="s">
        <v>42</v>
      </c>
      <c r="C23" s="80" t="s">
        <v>43</v>
      </c>
      <c r="D23" s="25">
        <v>24607</v>
      </c>
      <c r="E23" s="81"/>
      <c r="F23" s="25">
        <v>21150</v>
      </c>
      <c r="G23" s="81"/>
      <c r="H23" s="25">
        <f>200*13*I23</f>
        <v>26000</v>
      </c>
      <c r="I23" s="82">
        <v>10</v>
      </c>
      <c r="J23" s="83">
        <f>13*9*200</f>
        <v>23400</v>
      </c>
      <c r="K23" s="82">
        <v>9</v>
      </c>
      <c r="L23" s="84"/>
      <c r="M23" s="30"/>
      <c r="Q23" s="85" t="s">
        <v>44</v>
      </c>
    </row>
    <row r="24" spans="1:17" ht="21" customHeight="1">
      <c r="A24" s="76"/>
      <c r="B24" s="86"/>
      <c r="C24" s="87"/>
      <c r="D24" s="88"/>
      <c r="E24" s="89"/>
      <c r="F24" s="88"/>
      <c r="G24" s="89"/>
      <c r="H24" s="88"/>
      <c r="I24" s="90"/>
      <c r="J24" s="89"/>
      <c r="K24" s="90"/>
      <c r="L24" s="84"/>
      <c r="M24" s="30"/>
      <c r="Q24" s="91"/>
    </row>
    <row r="25" spans="1:17">
      <c r="A25" s="76"/>
      <c r="B25" s="92" t="s">
        <v>45</v>
      </c>
      <c r="C25" s="93" t="s">
        <v>46</v>
      </c>
      <c r="D25" s="94">
        <v>142951</v>
      </c>
      <c r="E25" s="95"/>
      <c r="F25" s="94">
        <v>136490</v>
      </c>
      <c r="G25" s="95"/>
      <c r="H25" s="94">
        <f>SUM(H26:H55)</f>
        <v>153250</v>
      </c>
      <c r="I25" s="96">
        <f>SUM(I26:I53)</f>
        <v>50</v>
      </c>
      <c r="J25" s="97">
        <f>SUM(J26:J55)</f>
        <v>200500</v>
      </c>
      <c r="K25" s="98">
        <f>SUM(K26:K55)</f>
        <v>65</v>
      </c>
      <c r="L25" s="29"/>
      <c r="M25" s="99"/>
      <c r="Q25" s="100" t="s">
        <v>47</v>
      </c>
    </row>
    <row r="26" spans="1:17">
      <c r="A26" s="76"/>
      <c r="B26" s="101"/>
      <c r="C26" s="101" t="s">
        <v>48</v>
      </c>
      <c r="D26" s="102"/>
      <c r="E26" s="103"/>
      <c r="F26" s="104"/>
      <c r="G26" s="105"/>
      <c r="H26" s="104">
        <f>12*250*I26</f>
        <v>6000</v>
      </c>
      <c r="I26" s="106">
        <v>2</v>
      </c>
      <c r="J26" s="107">
        <f>2*250*12</f>
        <v>6000</v>
      </c>
      <c r="K26" s="108">
        <v>2</v>
      </c>
      <c r="L26" s="29"/>
      <c r="M26" s="30"/>
      <c r="Q26" s="109" t="s">
        <v>224</v>
      </c>
    </row>
    <row r="27" spans="1:17">
      <c r="A27" s="76"/>
      <c r="B27" s="101"/>
      <c r="C27" s="101" t="s">
        <v>49</v>
      </c>
      <c r="D27" s="102"/>
      <c r="E27" s="103"/>
      <c r="F27" s="104"/>
      <c r="G27" s="105"/>
      <c r="H27" s="104">
        <f>12*250*I27</f>
        <v>6000</v>
      </c>
      <c r="I27" s="106">
        <v>2</v>
      </c>
      <c r="J27" s="107">
        <f>2*250*12</f>
        <v>6000</v>
      </c>
      <c r="K27" s="108">
        <v>2</v>
      </c>
      <c r="L27" s="29"/>
      <c r="M27" s="30"/>
      <c r="Q27" s="109" t="s">
        <v>224</v>
      </c>
    </row>
    <row r="28" spans="1:17">
      <c r="A28" s="76"/>
      <c r="B28" s="101"/>
      <c r="C28" s="101" t="s">
        <v>50</v>
      </c>
      <c r="D28" s="102"/>
      <c r="E28" s="103"/>
      <c r="F28" s="104"/>
      <c r="G28" s="105"/>
      <c r="H28" s="104">
        <v>3000</v>
      </c>
      <c r="I28" s="106">
        <v>1</v>
      </c>
      <c r="J28" s="107">
        <f>250*13</f>
        <v>3250</v>
      </c>
      <c r="K28" s="108">
        <v>1</v>
      </c>
      <c r="L28" s="29"/>
      <c r="M28" s="30"/>
      <c r="Q28" s="109"/>
    </row>
    <row r="29" spans="1:17">
      <c r="A29" s="76"/>
      <c r="B29" s="101"/>
      <c r="C29" s="101" t="s">
        <v>51</v>
      </c>
      <c r="D29" s="102"/>
      <c r="E29" s="103"/>
      <c r="F29" s="104"/>
      <c r="G29" s="105"/>
      <c r="H29" s="104">
        <v>3000</v>
      </c>
      <c r="I29" s="106">
        <v>1</v>
      </c>
      <c r="J29" s="107">
        <f t="shared" ref="J29:J30" si="0">250*13</f>
        <v>3250</v>
      </c>
      <c r="K29" s="108">
        <v>1</v>
      </c>
      <c r="L29" s="29"/>
      <c r="M29" s="30"/>
      <c r="Q29" s="109"/>
    </row>
    <row r="30" spans="1:17">
      <c r="A30" s="76"/>
      <c r="B30" s="101"/>
      <c r="C30" s="101" t="s">
        <v>52</v>
      </c>
      <c r="D30" s="102"/>
      <c r="E30" s="103"/>
      <c r="F30" s="104"/>
      <c r="G30" s="105"/>
      <c r="H30" s="104">
        <v>3000</v>
      </c>
      <c r="I30" s="106">
        <v>1</v>
      </c>
      <c r="J30" s="107">
        <f t="shared" si="0"/>
        <v>3250</v>
      </c>
      <c r="K30" s="108">
        <v>1</v>
      </c>
      <c r="L30" s="29"/>
      <c r="M30" s="30"/>
      <c r="Q30" s="109"/>
    </row>
    <row r="31" spans="1:17">
      <c r="A31" s="76"/>
      <c r="B31" s="101"/>
      <c r="C31" s="101" t="s">
        <v>53</v>
      </c>
      <c r="D31" s="102"/>
      <c r="E31" s="103"/>
      <c r="F31" s="104"/>
      <c r="G31" s="105"/>
      <c r="H31" s="104">
        <f>100*13*I31</f>
        <v>6500</v>
      </c>
      <c r="I31" s="106">
        <v>5</v>
      </c>
      <c r="J31" s="107">
        <f>5*100*13</f>
        <v>6500</v>
      </c>
      <c r="K31" s="108">
        <v>5</v>
      </c>
      <c r="L31" s="29"/>
      <c r="M31" s="30"/>
      <c r="Q31" s="110" t="s">
        <v>54</v>
      </c>
    </row>
    <row r="32" spans="1:17">
      <c r="A32" s="76"/>
      <c r="B32" s="101"/>
      <c r="C32" s="101" t="s">
        <v>55</v>
      </c>
      <c r="D32" s="111"/>
      <c r="E32" s="112"/>
      <c r="F32" s="104"/>
      <c r="G32" s="113"/>
      <c r="H32" s="104">
        <f>250*13*I32</f>
        <v>3250</v>
      </c>
      <c r="I32" s="114">
        <v>1</v>
      </c>
      <c r="J32" s="107">
        <f t="shared" ref="J32:J33" si="1">250*13</f>
        <v>3250</v>
      </c>
      <c r="K32" s="108">
        <v>1</v>
      </c>
      <c r="L32" s="115"/>
      <c r="M32" s="116"/>
      <c r="Q32" s="109"/>
    </row>
    <row r="33" spans="1:17">
      <c r="A33" s="76"/>
      <c r="B33" s="101"/>
      <c r="C33" s="101" t="s">
        <v>56</v>
      </c>
      <c r="D33" s="102"/>
      <c r="E33" s="103"/>
      <c r="F33" s="104"/>
      <c r="G33" s="105"/>
      <c r="H33" s="104">
        <f>250*13*I33</f>
        <v>3250</v>
      </c>
      <c r="I33" s="106">
        <v>1</v>
      </c>
      <c r="J33" s="107">
        <f t="shared" si="1"/>
        <v>3250</v>
      </c>
      <c r="K33" s="108">
        <v>1</v>
      </c>
      <c r="L33" s="29"/>
      <c r="M33" s="30"/>
      <c r="Q33" s="109"/>
    </row>
    <row r="34" spans="1:17">
      <c r="A34" s="76"/>
      <c r="B34" s="101"/>
      <c r="C34" s="101" t="s">
        <v>57</v>
      </c>
      <c r="D34" s="102"/>
      <c r="E34" s="103"/>
      <c r="F34" s="104"/>
      <c r="G34" s="105"/>
      <c r="H34" s="104">
        <f>250*13*I34+2*500</f>
        <v>10750</v>
      </c>
      <c r="I34" s="106">
        <v>3</v>
      </c>
      <c r="J34" s="107">
        <f>3*250*13</f>
        <v>9750</v>
      </c>
      <c r="K34" s="108">
        <v>3</v>
      </c>
      <c r="L34" s="29"/>
      <c r="M34" s="30"/>
      <c r="Q34" s="109"/>
    </row>
    <row r="35" spans="1:17">
      <c r="A35" s="76"/>
      <c r="B35" s="101"/>
      <c r="C35" s="101" t="s">
        <v>58</v>
      </c>
      <c r="D35" s="102"/>
      <c r="E35" s="112"/>
      <c r="F35" s="104"/>
      <c r="G35" s="105"/>
      <c r="H35" s="104">
        <f>250*13*I35</f>
        <v>3250</v>
      </c>
      <c r="I35" s="106">
        <v>1</v>
      </c>
      <c r="J35" s="107">
        <f>250*13</f>
        <v>3250</v>
      </c>
      <c r="K35" s="108">
        <v>1</v>
      </c>
      <c r="L35" s="29"/>
      <c r="M35" s="30"/>
      <c r="Q35" s="109"/>
    </row>
    <row r="36" spans="1:17">
      <c r="A36" s="76"/>
      <c r="B36" s="101"/>
      <c r="C36" s="101" t="s">
        <v>59</v>
      </c>
      <c r="D36" s="102"/>
      <c r="E36" s="112"/>
      <c r="F36" s="104"/>
      <c r="G36" s="105"/>
      <c r="H36" s="104">
        <f>250*13*I36+1*2*250</f>
        <v>13500</v>
      </c>
      <c r="I36" s="106">
        <v>4</v>
      </c>
      <c r="J36" s="278">
        <f>5*250*13</f>
        <v>16250</v>
      </c>
      <c r="K36" s="279">
        <v>5</v>
      </c>
      <c r="L36" s="29"/>
      <c r="M36" s="30"/>
      <c r="Q36" s="109"/>
    </row>
    <row r="37" spans="1:17">
      <c r="A37" s="76"/>
      <c r="B37" s="101"/>
      <c r="C37" s="101" t="s">
        <v>60</v>
      </c>
      <c r="D37" s="102"/>
      <c r="E37" s="112"/>
      <c r="F37" s="104"/>
      <c r="G37" s="105"/>
      <c r="H37" s="104">
        <f>250*13*I37+6*250</f>
        <v>17750</v>
      </c>
      <c r="I37" s="106">
        <v>5</v>
      </c>
      <c r="J37" s="278">
        <f>10*250*13</f>
        <v>32500</v>
      </c>
      <c r="K37" s="279">
        <v>10</v>
      </c>
      <c r="L37" s="29"/>
      <c r="M37" s="30"/>
      <c r="Q37" s="109"/>
    </row>
    <row r="38" spans="1:17">
      <c r="A38" s="76"/>
      <c r="B38" s="101"/>
      <c r="C38" s="101" t="s">
        <v>61</v>
      </c>
      <c r="D38" s="102"/>
      <c r="E38" s="112"/>
      <c r="F38" s="104"/>
      <c r="G38" s="105"/>
      <c r="H38" s="104">
        <f>250*13*I38</f>
        <v>13000</v>
      </c>
      <c r="I38" s="106">
        <v>4</v>
      </c>
      <c r="J38" s="278">
        <f>4*250*13</f>
        <v>13000</v>
      </c>
      <c r="K38" s="279">
        <v>4</v>
      </c>
      <c r="L38" s="29"/>
      <c r="M38" s="30"/>
      <c r="Q38" s="109"/>
    </row>
    <row r="39" spans="1:17">
      <c r="A39" s="76"/>
      <c r="B39" s="101"/>
      <c r="C39" s="101" t="s">
        <v>62</v>
      </c>
      <c r="D39" s="102"/>
      <c r="E39" s="112"/>
      <c r="F39" s="104"/>
      <c r="G39" s="105"/>
      <c r="H39" s="104">
        <f>250*13*I39</f>
        <v>3250</v>
      </c>
      <c r="I39" s="106">
        <v>1</v>
      </c>
      <c r="J39" s="278">
        <f>250*13</f>
        <v>3250</v>
      </c>
      <c r="K39" s="279">
        <v>1</v>
      </c>
      <c r="L39" s="29"/>
      <c r="M39" s="30"/>
      <c r="Q39" s="109"/>
    </row>
    <row r="40" spans="1:17">
      <c r="A40" s="76"/>
      <c r="B40" s="101"/>
      <c r="C40" s="101" t="s">
        <v>63</v>
      </c>
      <c r="D40" s="102"/>
      <c r="E40" s="112"/>
      <c r="F40" s="104"/>
      <c r="G40" s="105"/>
      <c r="H40" s="104">
        <f>250*13*I40</f>
        <v>6500</v>
      </c>
      <c r="I40" s="106">
        <v>2</v>
      </c>
      <c r="J40" s="278">
        <f>2*250*13</f>
        <v>6500</v>
      </c>
      <c r="K40" s="279">
        <v>2</v>
      </c>
      <c r="L40" s="29"/>
      <c r="M40" s="30"/>
      <c r="Q40" s="109"/>
    </row>
    <row r="41" spans="1:17">
      <c r="A41" s="76"/>
      <c r="B41" s="101"/>
      <c r="C41" s="101" t="s">
        <v>64</v>
      </c>
      <c r="D41" s="102"/>
      <c r="E41" s="112"/>
      <c r="F41" s="104"/>
      <c r="G41" s="105"/>
      <c r="H41" s="104">
        <f>250*13*I41</f>
        <v>0</v>
      </c>
      <c r="I41" s="106">
        <v>0</v>
      </c>
      <c r="J41" s="278">
        <f>250*13</f>
        <v>3250</v>
      </c>
      <c r="K41" s="279">
        <v>1</v>
      </c>
      <c r="L41" s="29"/>
      <c r="M41" s="30"/>
      <c r="Q41" s="109"/>
    </row>
    <row r="42" spans="1:17">
      <c r="A42" s="76"/>
      <c r="B42" s="101"/>
      <c r="C42" s="101" t="s">
        <v>65</v>
      </c>
      <c r="D42" s="102"/>
      <c r="E42" s="112"/>
      <c r="F42" s="104"/>
      <c r="G42" s="105"/>
      <c r="H42" s="104">
        <f>250*13*I42+1*2*250</f>
        <v>7000</v>
      </c>
      <c r="I42" s="106">
        <v>2</v>
      </c>
      <c r="J42" s="278">
        <f>3*250*13</f>
        <v>9750</v>
      </c>
      <c r="K42" s="279">
        <v>3</v>
      </c>
      <c r="L42" s="29"/>
      <c r="M42" s="30"/>
      <c r="Q42" s="109"/>
    </row>
    <row r="43" spans="1:17">
      <c r="A43" s="76"/>
      <c r="B43" s="101"/>
      <c r="C43" s="101" t="s">
        <v>66</v>
      </c>
      <c r="D43" s="102"/>
      <c r="E43" s="112"/>
      <c r="F43" s="104"/>
      <c r="G43" s="105"/>
      <c r="H43" s="104">
        <f>250*13*I43+2*2*250</f>
        <v>7500</v>
      </c>
      <c r="I43" s="106">
        <v>2</v>
      </c>
      <c r="J43" s="278">
        <f>5*250*13</f>
        <v>16250</v>
      </c>
      <c r="K43" s="279">
        <v>5</v>
      </c>
      <c r="L43" s="29"/>
      <c r="M43" s="30"/>
      <c r="Q43" s="109"/>
    </row>
    <row r="44" spans="1:17">
      <c r="A44" s="76"/>
      <c r="B44" s="101"/>
      <c r="C44" s="101" t="s">
        <v>67</v>
      </c>
      <c r="D44" s="102"/>
      <c r="E44" s="112"/>
      <c r="F44" s="104"/>
      <c r="G44" s="105"/>
      <c r="H44" s="104">
        <f t="shared" ref="H44:H49" si="2">250*13*I44</f>
        <v>3250</v>
      </c>
      <c r="I44" s="106">
        <v>1</v>
      </c>
      <c r="J44" s="278">
        <f t="shared" ref="J44:J46" si="3">250*13</f>
        <v>3250</v>
      </c>
      <c r="K44" s="279">
        <v>1</v>
      </c>
      <c r="L44" s="29"/>
      <c r="M44" s="30"/>
      <c r="Q44" s="109"/>
    </row>
    <row r="45" spans="1:17">
      <c r="A45" s="76"/>
      <c r="B45" s="101"/>
      <c r="C45" s="101" t="s">
        <v>68</v>
      </c>
      <c r="D45" s="102"/>
      <c r="E45" s="112"/>
      <c r="F45" s="104"/>
      <c r="G45" s="105"/>
      <c r="H45" s="104">
        <f t="shared" si="2"/>
        <v>3250</v>
      </c>
      <c r="I45" s="106">
        <v>1</v>
      </c>
      <c r="J45" s="278">
        <f t="shared" si="3"/>
        <v>3250</v>
      </c>
      <c r="K45" s="279">
        <v>1</v>
      </c>
      <c r="L45" s="29"/>
      <c r="M45" s="30"/>
      <c r="Q45" s="109"/>
    </row>
    <row r="46" spans="1:17">
      <c r="A46" s="76"/>
      <c r="B46" s="101"/>
      <c r="C46" s="101" t="s">
        <v>69</v>
      </c>
      <c r="D46" s="102"/>
      <c r="E46" s="112"/>
      <c r="F46" s="104"/>
      <c r="G46" s="105"/>
      <c r="H46" s="104">
        <f t="shared" si="2"/>
        <v>3250</v>
      </c>
      <c r="I46" s="106">
        <v>1</v>
      </c>
      <c r="J46" s="278">
        <f t="shared" si="3"/>
        <v>3250</v>
      </c>
      <c r="K46" s="279">
        <v>1</v>
      </c>
      <c r="L46" s="29"/>
      <c r="M46" s="30"/>
      <c r="Q46" s="109"/>
    </row>
    <row r="47" spans="1:17">
      <c r="A47" s="76"/>
      <c r="B47" s="101"/>
      <c r="C47" s="101" t="s">
        <v>70</v>
      </c>
      <c r="D47" s="102"/>
      <c r="E47" s="112"/>
      <c r="F47" s="104"/>
      <c r="G47" s="105"/>
      <c r="H47" s="104">
        <f t="shared" si="2"/>
        <v>13000</v>
      </c>
      <c r="I47" s="106">
        <v>4</v>
      </c>
      <c r="J47" s="278">
        <f>4*250*13</f>
        <v>13000</v>
      </c>
      <c r="K47" s="279">
        <v>4</v>
      </c>
      <c r="L47" s="29"/>
      <c r="M47" s="30"/>
      <c r="Q47" s="109"/>
    </row>
    <row r="48" spans="1:17">
      <c r="A48" s="76"/>
      <c r="B48" s="101"/>
      <c r="C48" s="280" t="s">
        <v>71</v>
      </c>
      <c r="D48" s="281"/>
      <c r="E48" s="282"/>
      <c r="F48" s="283"/>
      <c r="G48" s="284"/>
      <c r="H48" s="283">
        <f t="shared" si="2"/>
        <v>0</v>
      </c>
      <c r="I48" s="285">
        <v>0</v>
      </c>
      <c r="J48" s="278">
        <v>3250</v>
      </c>
      <c r="K48" s="279">
        <v>1</v>
      </c>
      <c r="L48" s="29"/>
      <c r="M48" s="30"/>
      <c r="Q48" s="109"/>
    </row>
    <row r="49" spans="1:17">
      <c r="A49" s="76"/>
      <c r="B49" s="101"/>
      <c r="C49" s="280" t="s">
        <v>72</v>
      </c>
      <c r="D49" s="281"/>
      <c r="E49" s="282"/>
      <c r="F49" s="283"/>
      <c r="G49" s="284"/>
      <c r="H49" s="283">
        <f t="shared" si="2"/>
        <v>3250</v>
      </c>
      <c r="I49" s="285">
        <v>1</v>
      </c>
      <c r="J49" s="278">
        <f>250*13</f>
        <v>3250</v>
      </c>
      <c r="K49" s="279">
        <v>1</v>
      </c>
      <c r="L49" s="29"/>
      <c r="M49" s="30"/>
      <c r="Q49" s="109"/>
    </row>
    <row r="50" spans="1:17">
      <c r="A50" s="76"/>
      <c r="B50" s="101"/>
      <c r="C50" s="280" t="s">
        <v>73</v>
      </c>
      <c r="D50" s="281"/>
      <c r="E50" s="282"/>
      <c r="F50" s="283"/>
      <c r="G50" s="284"/>
      <c r="H50" s="283">
        <v>500</v>
      </c>
      <c r="I50" s="285">
        <v>1</v>
      </c>
      <c r="J50" s="278">
        <v>3250</v>
      </c>
      <c r="K50" s="279">
        <v>1</v>
      </c>
      <c r="L50" s="29"/>
      <c r="M50" s="30"/>
      <c r="Q50" s="109"/>
    </row>
    <row r="51" spans="1:17">
      <c r="A51" s="76"/>
      <c r="B51" s="101"/>
      <c r="C51" s="280" t="s">
        <v>74</v>
      </c>
      <c r="D51" s="281"/>
      <c r="E51" s="282"/>
      <c r="F51" s="283"/>
      <c r="G51" s="284"/>
      <c r="H51" s="283">
        <f>250*13*I51</f>
        <v>6500</v>
      </c>
      <c r="I51" s="285">
        <v>2</v>
      </c>
      <c r="J51" s="278">
        <f>2*250*13</f>
        <v>6500</v>
      </c>
      <c r="K51" s="279">
        <v>2</v>
      </c>
      <c r="L51" s="29"/>
      <c r="M51" s="30"/>
      <c r="Q51" s="109"/>
    </row>
    <row r="52" spans="1:17">
      <c r="A52" s="76"/>
      <c r="B52" s="101"/>
      <c r="C52" s="280" t="s">
        <v>75</v>
      </c>
      <c r="D52" s="281"/>
      <c r="E52" s="282"/>
      <c r="F52" s="283"/>
      <c r="G52" s="284"/>
      <c r="H52" s="283">
        <v>500</v>
      </c>
      <c r="I52" s="285">
        <v>0</v>
      </c>
      <c r="J52" s="278">
        <v>3250</v>
      </c>
      <c r="K52" s="279">
        <v>1</v>
      </c>
      <c r="L52" s="29"/>
      <c r="M52" s="30"/>
      <c r="Q52" s="109"/>
    </row>
    <row r="53" spans="1:17">
      <c r="A53" s="76"/>
      <c r="B53" s="101"/>
      <c r="C53" s="280" t="s">
        <v>76</v>
      </c>
      <c r="D53" s="281"/>
      <c r="E53" s="282"/>
      <c r="F53" s="283"/>
      <c r="G53" s="284"/>
      <c r="H53" s="283">
        <v>3250</v>
      </c>
      <c r="I53" s="285">
        <v>1</v>
      </c>
      <c r="J53" s="278">
        <v>0</v>
      </c>
      <c r="K53" s="279">
        <v>0</v>
      </c>
      <c r="L53" s="29"/>
      <c r="M53" s="30"/>
      <c r="Q53" s="118"/>
    </row>
    <row r="54" spans="1:17">
      <c r="A54" s="76"/>
      <c r="B54" s="101"/>
      <c r="C54" s="280" t="s">
        <v>77</v>
      </c>
      <c r="D54" s="281"/>
      <c r="E54" s="282"/>
      <c r="F54" s="283"/>
      <c r="G54" s="284"/>
      <c r="H54" s="283">
        <v>0</v>
      </c>
      <c r="I54" s="285">
        <v>0</v>
      </c>
      <c r="J54" s="278">
        <v>3250</v>
      </c>
      <c r="K54" s="279">
        <v>1</v>
      </c>
      <c r="L54" s="29"/>
      <c r="M54" s="30"/>
      <c r="Q54" s="118"/>
    </row>
    <row r="55" spans="1:17">
      <c r="A55" s="76"/>
      <c r="B55" s="101"/>
      <c r="C55" s="280" t="s">
        <v>78</v>
      </c>
      <c r="D55" s="281"/>
      <c r="E55" s="282"/>
      <c r="F55" s="283"/>
      <c r="G55" s="284"/>
      <c r="H55" s="283">
        <v>0</v>
      </c>
      <c r="I55" s="285">
        <v>0</v>
      </c>
      <c r="J55" s="278">
        <f>2*3250</f>
        <v>6500</v>
      </c>
      <c r="K55" s="279">
        <v>2</v>
      </c>
      <c r="L55" s="29"/>
      <c r="M55" s="30"/>
      <c r="Q55" s="118"/>
    </row>
    <row r="56" spans="1:17">
      <c r="A56" s="76"/>
      <c r="B56" s="92" t="s">
        <v>79</v>
      </c>
      <c r="C56" s="93" t="s">
        <v>80</v>
      </c>
      <c r="D56" s="94">
        <v>112397.36</v>
      </c>
      <c r="E56" s="119"/>
      <c r="F56" s="120">
        <v>157610.72</v>
      </c>
      <c r="G56" s="121"/>
      <c r="H56" s="120">
        <v>208245.27</v>
      </c>
      <c r="I56" s="122">
        <f>SUM(I57:I73)</f>
        <v>16</v>
      </c>
      <c r="J56" s="123">
        <f>SUM(J57:J73)</f>
        <v>183992</v>
      </c>
      <c r="K56" s="122">
        <f>SUM(K57:K73)</f>
        <v>18</v>
      </c>
      <c r="L56" s="29"/>
      <c r="M56" s="99"/>
      <c r="Q56" s="124" t="s">
        <v>81</v>
      </c>
    </row>
    <row r="57" spans="1:17">
      <c r="A57" s="76"/>
      <c r="B57" s="101"/>
      <c r="C57" s="125" t="s">
        <v>82</v>
      </c>
      <c r="D57" s="126"/>
      <c r="E57" s="127"/>
      <c r="F57" s="104">
        <v>11963.85</v>
      </c>
      <c r="G57" s="105"/>
      <c r="H57" s="104">
        <f t="shared" ref="H57:H66" si="4">1080*13+50.06*7</f>
        <v>14390.42</v>
      </c>
      <c r="I57" s="106">
        <v>1</v>
      </c>
      <c r="J57" s="111">
        <f t="shared" ref="J57:J65" si="5">1100*13</f>
        <v>14300</v>
      </c>
      <c r="K57" s="106">
        <v>1</v>
      </c>
      <c r="L57" s="29"/>
      <c r="M57" s="30"/>
      <c r="Q57" s="109"/>
    </row>
    <row r="58" spans="1:17">
      <c r="A58" s="76"/>
      <c r="B58" s="101"/>
      <c r="C58" s="125" t="s">
        <v>83</v>
      </c>
      <c r="D58" s="126"/>
      <c r="E58" s="127"/>
      <c r="F58" s="104">
        <v>12676.1</v>
      </c>
      <c r="G58" s="105"/>
      <c r="H58" s="104">
        <f t="shared" si="4"/>
        <v>14390.42</v>
      </c>
      <c r="I58" s="106">
        <v>1</v>
      </c>
      <c r="J58" s="111">
        <f t="shared" si="5"/>
        <v>14300</v>
      </c>
      <c r="K58" s="106">
        <v>1</v>
      </c>
      <c r="L58" s="29"/>
      <c r="M58" s="30"/>
      <c r="Q58" s="109"/>
    </row>
    <row r="59" spans="1:17">
      <c r="A59" s="76"/>
      <c r="B59" s="101"/>
      <c r="C59" s="125" t="s">
        <v>84</v>
      </c>
      <c r="D59" s="126"/>
      <c r="E59" s="127"/>
      <c r="F59" s="104">
        <v>11549.7</v>
      </c>
      <c r="G59" s="105"/>
      <c r="H59" s="104">
        <f t="shared" si="4"/>
        <v>14390.42</v>
      </c>
      <c r="I59" s="106">
        <v>1</v>
      </c>
      <c r="J59" s="111">
        <f t="shared" si="5"/>
        <v>14300</v>
      </c>
      <c r="K59" s="106">
        <v>1</v>
      </c>
      <c r="L59" s="29"/>
      <c r="M59" s="30"/>
      <c r="Q59" s="109"/>
    </row>
    <row r="60" spans="1:17" ht="16">
      <c r="A60" s="76"/>
      <c r="B60" s="101"/>
      <c r="C60" s="128" t="s">
        <v>85</v>
      </c>
      <c r="D60" s="126"/>
      <c r="E60" s="129"/>
      <c r="F60" s="104">
        <v>12801.76</v>
      </c>
      <c r="G60" s="105"/>
      <c r="H60" s="104">
        <f t="shared" si="4"/>
        <v>14390.42</v>
      </c>
      <c r="I60" s="106">
        <v>1</v>
      </c>
      <c r="J60" s="111">
        <f t="shared" si="5"/>
        <v>14300</v>
      </c>
      <c r="K60" s="106">
        <v>1</v>
      </c>
      <c r="L60" s="29"/>
      <c r="M60" s="30"/>
      <c r="Q60" s="109"/>
    </row>
    <row r="61" spans="1:17">
      <c r="A61" s="76"/>
      <c r="B61" s="101"/>
      <c r="C61" s="125" t="s">
        <v>86</v>
      </c>
      <c r="D61" s="126"/>
      <c r="E61" s="129"/>
      <c r="F61" s="104">
        <v>11992.75</v>
      </c>
      <c r="G61" s="105"/>
      <c r="H61" s="104">
        <f t="shared" si="4"/>
        <v>14390.42</v>
      </c>
      <c r="I61" s="106">
        <v>1</v>
      </c>
      <c r="J61" s="111">
        <f t="shared" si="5"/>
        <v>14300</v>
      </c>
      <c r="K61" s="106">
        <v>1</v>
      </c>
      <c r="L61" s="29"/>
      <c r="M61" s="30"/>
      <c r="Q61" s="109"/>
    </row>
    <row r="62" spans="1:17">
      <c r="A62" s="76"/>
      <c r="B62" s="101"/>
      <c r="C62" s="125" t="s">
        <v>87</v>
      </c>
      <c r="D62" s="126"/>
      <c r="E62" s="129"/>
      <c r="F62" s="104">
        <v>12867.08</v>
      </c>
      <c r="G62" s="105"/>
      <c r="H62" s="104">
        <f t="shared" si="4"/>
        <v>14390.42</v>
      </c>
      <c r="I62" s="106">
        <v>1</v>
      </c>
      <c r="J62" s="111">
        <f t="shared" si="5"/>
        <v>14300</v>
      </c>
      <c r="K62" s="106">
        <v>1</v>
      </c>
      <c r="L62" s="29"/>
      <c r="M62" s="30"/>
      <c r="Q62" s="109"/>
    </row>
    <row r="63" spans="1:17">
      <c r="A63" s="76"/>
      <c r="B63" s="101"/>
      <c r="C63" s="125" t="s">
        <v>88</v>
      </c>
      <c r="D63" s="126"/>
      <c r="E63" s="129"/>
      <c r="F63" s="104">
        <v>12949.34</v>
      </c>
      <c r="G63" s="105"/>
      <c r="H63" s="104">
        <f t="shared" si="4"/>
        <v>14390.42</v>
      </c>
      <c r="I63" s="106">
        <v>1</v>
      </c>
      <c r="J63" s="111">
        <f t="shared" si="5"/>
        <v>14300</v>
      </c>
      <c r="K63" s="106">
        <v>1</v>
      </c>
      <c r="L63" s="29"/>
      <c r="M63" s="30"/>
      <c r="Q63" s="109"/>
    </row>
    <row r="64" spans="1:17">
      <c r="A64" s="76"/>
      <c r="B64" s="101"/>
      <c r="C64" s="125" t="s">
        <v>89</v>
      </c>
      <c r="D64" s="126"/>
      <c r="E64" s="129"/>
      <c r="F64" s="104">
        <v>13080.56</v>
      </c>
      <c r="G64" s="105"/>
      <c r="H64" s="104">
        <f t="shared" si="4"/>
        <v>14390.42</v>
      </c>
      <c r="I64" s="106">
        <v>1</v>
      </c>
      <c r="J64" s="111">
        <f t="shared" si="5"/>
        <v>14300</v>
      </c>
      <c r="K64" s="106">
        <v>1</v>
      </c>
      <c r="L64" s="29"/>
      <c r="M64" s="30"/>
      <c r="Q64" s="109"/>
    </row>
    <row r="65" spans="1:17">
      <c r="A65" s="76"/>
      <c r="B65" s="101"/>
      <c r="C65" s="130" t="s">
        <v>90</v>
      </c>
      <c r="D65" s="59"/>
      <c r="E65" s="129"/>
      <c r="F65" s="104">
        <v>10356.709999999999</v>
      </c>
      <c r="G65" s="105"/>
      <c r="H65" s="104">
        <f t="shared" si="4"/>
        <v>14390.42</v>
      </c>
      <c r="I65" s="106">
        <v>1</v>
      </c>
      <c r="J65" s="111">
        <f t="shared" si="5"/>
        <v>14300</v>
      </c>
      <c r="K65" s="106">
        <v>1</v>
      </c>
      <c r="L65" s="29"/>
      <c r="M65" s="30"/>
      <c r="Q65" s="109"/>
    </row>
    <row r="66" spans="1:17">
      <c r="A66" s="76"/>
      <c r="B66" s="101"/>
      <c r="C66" s="125" t="s">
        <v>91</v>
      </c>
      <c r="D66" s="59"/>
      <c r="E66" s="129"/>
      <c r="F66" s="104">
        <v>8973.9</v>
      </c>
      <c r="G66" s="105"/>
      <c r="H66" s="104">
        <f t="shared" si="4"/>
        <v>14390.42</v>
      </c>
      <c r="I66" s="106">
        <v>1</v>
      </c>
      <c r="J66" s="111">
        <v>0</v>
      </c>
      <c r="K66" s="106">
        <v>0</v>
      </c>
      <c r="L66" s="29"/>
      <c r="M66" s="30"/>
      <c r="Q66" s="109"/>
    </row>
    <row r="67" spans="1:17">
      <c r="A67" s="76"/>
      <c r="B67" s="101"/>
      <c r="C67" s="125" t="s">
        <v>92</v>
      </c>
      <c r="D67" s="59"/>
      <c r="E67" s="129"/>
      <c r="F67" s="104">
        <v>6781.7</v>
      </c>
      <c r="G67" s="105"/>
      <c r="H67" s="104">
        <f>12*520</f>
        <v>6240</v>
      </c>
      <c r="I67" s="106">
        <v>1</v>
      </c>
      <c r="J67" s="131">
        <f>12*556</f>
        <v>6672</v>
      </c>
      <c r="K67" s="106">
        <v>1</v>
      </c>
      <c r="L67" s="29"/>
      <c r="M67" s="132"/>
      <c r="Q67" s="118"/>
    </row>
    <row r="68" spans="1:17">
      <c r="A68" s="76"/>
      <c r="B68" s="101"/>
      <c r="C68" s="125" t="s">
        <v>49</v>
      </c>
      <c r="D68" s="59"/>
      <c r="E68" s="129"/>
      <c r="F68" s="104">
        <f>2698.56+2740</f>
        <v>5438.5599999999995</v>
      </c>
      <c r="G68" s="105"/>
      <c r="H68" s="104">
        <f>12*270+626.2*2</f>
        <v>4492.3999999999996</v>
      </c>
      <c r="I68" s="106">
        <v>2</v>
      </c>
      <c r="J68" s="131">
        <f>12*270*2</f>
        <v>6480</v>
      </c>
      <c r="K68" s="106">
        <v>2</v>
      </c>
      <c r="L68" s="29"/>
      <c r="M68" s="30"/>
      <c r="Q68" s="109"/>
    </row>
    <row r="69" spans="1:17">
      <c r="A69" s="76"/>
      <c r="B69" s="101"/>
      <c r="C69" s="125" t="s">
        <v>93</v>
      </c>
      <c r="D69" s="59"/>
      <c r="E69" s="129"/>
      <c r="F69" s="104">
        <v>5280</v>
      </c>
      <c r="G69" s="105"/>
      <c r="H69" s="104">
        <f>12*270*2+626.2*2*2</f>
        <v>8984.7999999999993</v>
      </c>
      <c r="I69" s="106">
        <v>2</v>
      </c>
      <c r="J69" s="131">
        <f>12*270*2</f>
        <v>6480</v>
      </c>
      <c r="K69" s="106">
        <v>2</v>
      </c>
      <c r="L69" s="29"/>
      <c r="M69" s="30"/>
      <c r="Q69" s="109"/>
    </row>
    <row r="70" spans="1:17">
      <c r="A70" s="76"/>
      <c r="B70" s="101"/>
      <c r="C70" s="286" t="s">
        <v>94</v>
      </c>
      <c r="D70" s="287"/>
      <c r="E70" s="288"/>
      <c r="F70" s="283">
        <v>0</v>
      </c>
      <c r="G70" s="284"/>
      <c r="H70" s="283">
        <v>0</v>
      </c>
      <c r="I70" s="285">
        <v>0</v>
      </c>
      <c r="J70" s="289">
        <f>12*556</f>
        <v>6672</v>
      </c>
      <c r="K70" s="285">
        <v>1</v>
      </c>
      <c r="L70" s="29"/>
      <c r="M70" s="30"/>
      <c r="Q70" s="109"/>
    </row>
    <row r="71" spans="1:17">
      <c r="A71" s="76"/>
      <c r="B71" s="101"/>
      <c r="C71" s="286" t="s">
        <v>95</v>
      </c>
      <c r="D71" s="287"/>
      <c r="E71" s="288"/>
      <c r="F71" s="283">
        <v>0</v>
      </c>
      <c r="G71" s="284"/>
      <c r="H71" s="283">
        <v>0</v>
      </c>
      <c r="I71" s="285">
        <v>0</v>
      </c>
      <c r="J71" s="289">
        <f>556*11</f>
        <v>6116</v>
      </c>
      <c r="K71" s="285">
        <v>1</v>
      </c>
      <c r="L71" s="29"/>
      <c r="M71" s="30"/>
      <c r="Q71" s="109"/>
    </row>
    <row r="72" spans="1:17">
      <c r="A72" s="76"/>
      <c r="B72" s="101"/>
      <c r="C72" s="286" t="s">
        <v>96</v>
      </c>
      <c r="D72" s="287"/>
      <c r="E72" s="288"/>
      <c r="F72" s="283">
        <v>20898.71</v>
      </c>
      <c r="G72" s="284"/>
      <c r="H72" s="283">
        <f>12*520+30.1*7+26810.07+60*7</f>
        <v>33680.769999999997</v>
      </c>
      <c r="I72" s="285">
        <v>1</v>
      </c>
      <c r="J72" s="289">
        <f>1350*12</f>
        <v>16200</v>
      </c>
      <c r="K72" s="285">
        <v>1</v>
      </c>
      <c r="L72" s="29"/>
      <c r="M72" s="30"/>
      <c r="Q72" s="118"/>
    </row>
    <row r="73" spans="1:17">
      <c r="A73" s="76"/>
      <c r="B73" s="101"/>
      <c r="C73" s="286" t="s">
        <v>97</v>
      </c>
      <c r="D73" s="287"/>
      <c r="E73" s="288"/>
      <c r="F73" s="283">
        <v>0</v>
      </c>
      <c r="G73" s="284"/>
      <c r="H73" s="283">
        <v>0</v>
      </c>
      <c r="I73" s="285">
        <v>0</v>
      </c>
      <c r="J73" s="289">
        <f>556*12</f>
        <v>6672</v>
      </c>
      <c r="K73" s="285">
        <v>1</v>
      </c>
      <c r="L73" s="29"/>
      <c r="M73" s="30"/>
      <c r="Q73" s="118"/>
    </row>
    <row r="74" spans="1:17">
      <c r="A74" s="76"/>
      <c r="B74" s="92" t="s">
        <v>98</v>
      </c>
      <c r="C74" s="93" t="s">
        <v>99</v>
      </c>
      <c r="D74" s="94">
        <v>48887.8</v>
      </c>
      <c r="E74" s="95"/>
      <c r="F74" s="120">
        <v>68269.539999999994</v>
      </c>
      <c r="G74" s="121"/>
      <c r="H74" s="120">
        <f>SUM(H75:H78)</f>
        <v>71100</v>
      </c>
      <c r="I74" s="122"/>
      <c r="J74" s="123">
        <f>SUM(J75:J78)</f>
        <v>73600</v>
      </c>
      <c r="K74" s="122"/>
      <c r="L74" s="29"/>
      <c r="M74" s="99"/>
      <c r="Q74" s="124" t="s">
        <v>100</v>
      </c>
    </row>
    <row r="75" spans="1:17">
      <c r="A75" s="76"/>
      <c r="B75" s="101"/>
      <c r="C75" s="125" t="s">
        <v>101</v>
      </c>
      <c r="D75" s="59"/>
      <c r="E75" s="129"/>
      <c r="F75" s="104">
        <v>66060.77</v>
      </c>
      <c r="G75" s="105"/>
      <c r="H75" s="104">
        <v>70000</v>
      </c>
      <c r="I75" s="106"/>
      <c r="J75" s="111">
        <v>72000</v>
      </c>
      <c r="K75" s="106"/>
      <c r="L75" s="29"/>
      <c r="M75" s="30"/>
      <c r="Q75" s="109"/>
    </row>
    <row r="76" spans="1:17">
      <c r="A76" s="76"/>
      <c r="B76" s="101"/>
      <c r="C76" s="125" t="s">
        <v>102</v>
      </c>
      <c r="D76" s="59"/>
      <c r="E76" s="129"/>
      <c r="F76" s="104">
        <v>1041.0899999999999</v>
      </c>
      <c r="G76" s="105"/>
      <c r="H76" s="104">
        <v>600</v>
      </c>
      <c r="I76" s="106"/>
      <c r="J76" s="111">
        <v>600</v>
      </c>
      <c r="K76" s="106"/>
      <c r="L76" s="29"/>
      <c r="M76" s="30"/>
      <c r="Q76" s="109"/>
    </row>
    <row r="77" spans="1:17">
      <c r="A77" s="76"/>
      <c r="B77" s="101"/>
      <c r="C77" s="125" t="s">
        <v>103</v>
      </c>
      <c r="D77" s="59"/>
      <c r="E77" s="129"/>
      <c r="F77" s="104">
        <v>0</v>
      </c>
      <c r="G77" s="105"/>
      <c r="H77" s="104">
        <v>0</v>
      </c>
      <c r="I77" s="106"/>
      <c r="J77" s="111">
        <v>0</v>
      </c>
      <c r="K77" s="106"/>
      <c r="L77" s="29"/>
      <c r="M77" s="133"/>
      <c r="Q77" s="109"/>
    </row>
    <row r="78" spans="1:17">
      <c r="A78" s="76"/>
      <c r="B78" s="101"/>
      <c r="C78" s="125" t="s">
        <v>104</v>
      </c>
      <c r="D78" s="104"/>
      <c r="E78" s="129"/>
      <c r="F78" s="104">
        <v>1167.68</v>
      </c>
      <c r="G78" s="105"/>
      <c r="H78" s="104">
        <v>500</v>
      </c>
      <c r="I78" s="106"/>
      <c r="J78" s="111">
        <v>1000</v>
      </c>
      <c r="K78" s="106"/>
      <c r="L78" s="29"/>
      <c r="M78" s="30"/>
      <c r="Q78" s="109"/>
    </row>
    <row r="79" spans="1:17" ht="31">
      <c r="A79" s="76"/>
      <c r="B79" s="134" t="s">
        <v>105</v>
      </c>
      <c r="C79" s="135" t="s">
        <v>106</v>
      </c>
      <c r="D79" s="136">
        <v>54242.99</v>
      </c>
      <c r="E79" s="137"/>
      <c r="F79" s="138">
        <v>63733.67</v>
      </c>
      <c r="G79" s="139"/>
      <c r="H79" s="138">
        <f>SUM(H80:H83)</f>
        <v>40598</v>
      </c>
      <c r="I79" s="140"/>
      <c r="J79" s="141">
        <f>SUM(J80:J83)</f>
        <v>80600</v>
      </c>
      <c r="K79" s="122"/>
      <c r="L79" s="29"/>
      <c r="M79" s="99"/>
      <c r="Q79" s="142">
        <f>SUM(Q80:Q83)</f>
        <v>0</v>
      </c>
    </row>
    <row r="80" spans="1:17">
      <c r="A80" s="76"/>
      <c r="B80" s="101"/>
      <c r="C80" s="125" t="s">
        <v>107</v>
      </c>
      <c r="D80" s="59"/>
      <c r="E80" s="129"/>
      <c r="F80" s="104">
        <v>0</v>
      </c>
      <c r="G80" s="105"/>
      <c r="H80" s="104">
        <v>0</v>
      </c>
      <c r="I80" s="106"/>
      <c r="J80" s="107">
        <v>2500</v>
      </c>
      <c r="K80" s="106"/>
      <c r="L80" s="29"/>
      <c r="M80" s="30"/>
      <c r="Q80" s="109" t="s">
        <v>108</v>
      </c>
    </row>
    <row r="81" spans="1:17" ht="31">
      <c r="A81" s="76"/>
      <c r="B81" s="101"/>
      <c r="C81" s="128" t="s">
        <v>109</v>
      </c>
      <c r="D81" s="59"/>
      <c r="E81" s="129"/>
      <c r="F81" s="59">
        <v>63260.05</v>
      </c>
      <c r="G81" s="105"/>
      <c r="H81" s="59">
        <v>0</v>
      </c>
      <c r="I81" s="106"/>
      <c r="J81" s="107">
        <v>0</v>
      </c>
      <c r="K81" s="106"/>
      <c r="L81" s="29"/>
      <c r="M81" s="30"/>
      <c r="Q81" s="60"/>
    </row>
    <row r="82" spans="1:17" ht="16">
      <c r="A82" s="76"/>
      <c r="B82" s="101"/>
      <c r="C82" s="143" t="s">
        <v>110</v>
      </c>
      <c r="D82" s="104"/>
      <c r="E82" s="129"/>
      <c r="F82" s="104"/>
      <c r="G82" s="105"/>
      <c r="H82" s="104">
        <v>40000</v>
      </c>
      <c r="I82" s="106"/>
      <c r="J82" s="107">
        <v>70000</v>
      </c>
      <c r="K82" s="106"/>
      <c r="L82" s="29"/>
      <c r="M82" s="30"/>
      <c r="Q82" s="109"/>
    </row>
    <row r="83" spans="1:17" ht="31">
      <c r="A83" s="76"/>
      <c r="B83" s="101"/>
      <c r="C83" s="128" t="s">
        <v>111</v>
      </c>
      <c r="D83" s="59"/>
      <c r="E83" s="129"/>
      <c r="F83" s="104">
        <v>473.66</v>
      </c>
      <c r="G83" s="105"/>
      <c r="H83" s="104">
        <f>299*2</f>
        <v>598</v>
      </c>
      <c r="I83" s="106"/>
      <c r="J83" s="107">
        <v>8100</v>
      </c>
      <c r="K83" s="106"/>
      <c r="L83" s="29"/>
      <c r="M83" s="30"/>
      <c r="Q83" s="109"/>
    </row>
    <row r="84" spans="1:17" ht="30.75" customHeight="1">
      <c r="A84" s="76"/>
      <c r="B84" s="144"/>
      <c r="C84" s="145" t="s">
        <v>112</v>
      </c>
      <c r="D84" s="146">
        <f>SUM(D23,D25,D56,D74,D79)</f>
        <v>383086.14999999997</v>
      </c>
      <c r="E84" s="147"/>
      <c r="F84" s="146">
        <f>SUM(F79,F74,F56,F25,F23)</f>
        <v>447253.93</v>
      </c>
      <c r="G84" s="148"/>
      <c r="H84" s="146">
        <f>H79+H74+H56+H25+H23</f>
        <v>499193.27</v>
      </c>
      <c r="I84" s="149"/>
      <c r="J84" s="150">
        <f>J79+J74+J56+J25+J23</f>
        <v>562092</v>
      </c>
      <c r="K84" s="149"/>
      <c r="L84" s="29"/>
      <c r="M84" s="30"/>
      <c r="Q84" s="151"/>
    </row>
    <row r="85" spans="1:17" ht="31.5" customHeight="1">
      <c r="A85" s="76"/>
      <c r="B85" s="152"/>
      <c r="C85" s="128"/>
      <c r="D85" s="59"/>
      <c r="E85" s="129"/>
      <c r="F85" s="104"/>
      <c r="G85" s="105"/>
      <c r="H85" s="104"/>
      <c r="I85" s="106"/>
      <c r="J85" s="153"/>
      <c r="K85" s="106"/>
      <c r="L85" s="29"/>
      <c r="M85" s="30"/>
      <c r="N85" s="56"/>
      <c r="Q85" s="109"/>
    </row>
    <row r="86" spans="1:17" ht="30" customHeight="1">
      <c r="A86" s="16"/>
      <c r="B86" s="269" t="s">
        <v>113</v>
      </c>
      <c r="C86" s="269"/>
      <c r="D86" s="269"/>
      <c r="E86" s="269"/>
      <c r="F86" s="269"/>
      <c r="G86" s="269"/>
      <c r="H86" s="269"/>
      <c r="I86" s="269"/>
      <c r="J86" s="3"/>
      <c r="K86" s="3"/>
      <c r="L86" s="29"/>
      <c r="M86" s="30"/>
      <c r="N86" s="56"/>
      <c r="Q86" s="11"/>
    </row>
    <row r="87" spans="1:17">
      <c r="A87" s="16"/>
      <c r="B87" s="21"/>
      <c r="C87" s="22"/>
      <c r="D87" s="23" t="s">
        <v>1</v>
      </c>
      <c r="E87" s="24"/>
      <c r="F87" s="25" t="s">
        <v>1</v>
      </c>
      <c r="G87" s="26"/>
      <c r="H87" s="27" t="s">
        <v>3</v>
      </c>
      <c r="I87" s="28"/>
      <c r="J87" s="81" t="s">
        <v>3</v>
      </c>
      <c r="K87" s="28"/>
      <c r="L87" s="29"/>
      <c r="M87" s="30"/>
      <c r="N87" s="56"/>
      <c r="Q87" s="31" t="s">
        <v>3</v>
      </c>
    </row>
    <row r="88" spans="1:17">
      <c r="A88" s="16"/>
      <c r="B88" s="32" t="s">
        <v>4</v>
      </c>
      <c r="C88" s="154" t="s">
        <v>39</v>
      </c>
      <c r="D88" s="34" t="s">
        <v>40</v>
      </c>
      <c r="E88" s="35"/>
      <c r="F88" s="36" t="s">
        <v>7</v>
      </c>
      <c r="G88" s="37"/>
      <c r="H88" s="38" t="s">
        <v>41</v>
      </c>
      <c r="I88" s="39"/>
      <c r="J88" s="155" t="s">
        <v>114</v>
      </c>
      <c r="K88" s="39"/>
      <c r="L88" s="29"/>
      <c r="M88" s="49"/>
      <c r="Q88" s="40" t="s">
        <v>41</v>
      </c>
    </row>
    <row r="89" spans="1:17">
      <c r="A89" s="16"/>
      <c r="B89" s="156"/>
      <c r="C89" s="157"/>
      <c r="D89" s="158">
        <f>SUM(D90:D96)</f>
        <v>113166.06</v>
      </c>
      <c r="E89" s="158"/>
      <c r="F89" s="94">
        <f>SUM(F90:F96)</f>
        <v>91929.23000000001</v>
      </c>
      <c r="G89" s="159"/>
      <c r="H89" s="94">
        <f>SUM(H90:H96)</f>
        <v>96917.290000000008</v>
      </c>
      <c r="I89" s="160"/>
      <c r="J89" s="83">
        <f>SUM(J90:J96)</f>
        <v>114600</v>
      </c>
      <c r="K89" s="160"/>
      <c r="L89" s="29"/>
      <c r="M89" s="49"/>
      <c r="Q89" s="100">
        <f>SUM(Q90:Q96)</f>
        <v>0</v>
      </c>
    </row>
    <row r="90" spans="1:17" ht="61">
      <c r="A90" s="16"/>
      <c r="B90" s="152" t="s">
        <v>115</v>
      </c>
      <c r="C90" s="161" t="s">
        <v>116</v>
      </c>
      <c r="D90" s="162">
        <v>13957.64</v>
      </c>
      <c r="E90" s="129"/>
      <c r="F90" s="104">
        <v>27285.13</v>
      </c>
      <c r="G90" s="105"/>
      <c r="H90" s="104">
        <v>16000</v>
      </c>
      <c r="I90" s="106"/>
      <c r="J90" s="107">
        <v>25000</v>
      </c>
      <c r="K90" s="106"/>
      <c r="L90" s="29"/>
      <c r="M90" s="30"/>
      <c r="Q90" s="109" t="s">
        <v>117</v>
      </c>
    </row>
    <row r="91" spans="1:17" ht="23.25" customHeight="1">
      <c r="A91" s="16"/>
      <c r="B91" s="152" t="s">
        <v>118</v>
      </c>
      <c r="C91" s="101" t="s">
        <v>119</v>
      </c>
      <c r="D91" s="162">
        <v>48993.599999999999</v>
      </c>
      <c r="E91" s="129"/>
      <c r="F91" s="104">
        <v>36920.5</v>
      </c>
      <c r="G91" s="105"/>
      <c r="H91" s="104">
        <f>57026.25+5391.04</f>
        <v>62417.29</v>
      </c>
      <c r="I91" s="106"/>
      <c r="J91" s="163">
        <v>61000</v>
      </c>
      <c r="K91" s="106"/>
      <c r="L91" s="29"/>
      <c r="M91" s="132"/>
      <c r="N91" s="56"/>
      <c r="Q91" s="109" t="s">
        <v>120</v>
      </c>
    </row>
    <row r="92" spans="1:17" ht="23.25" customHeight="1">
      <c r="A92" s="16"/>
      <c r="B92" s="164" t="s">
        <v>121</v>
      </c>
      <c r="C92" s="101" t="s">
        <v>122</v>
      </c>
      <c r="D92" s="162">
        <v>0</v>
      </c>
      <c r="E92" s="129"/>
      <c r="F92" s="104">
        <v>0</v>
      </c>
      <c r="G92" s="105"/>
      <c r="H92" s="117">
        <v>0</v>
      </c>
      <c r="I92" s="106"/>
      <c r="J92" s="107">
        <v>0</v>
      </c>
      <c r="K92" s="106"/>
      <c r="L92" s="29"/>
      <c r="M92" s="132"/>
      <c r="N92" s="56"/>
      <c r="Q92" s="118"/>
    </row>
    <row r="93" spans="1:17" ht="21.75" customHeight="1">
      <c r="A93" s="16"/>
      <c r="B93" s="152" t="s">
        <v>123</v>
      </c>
      <c r="C93" s="101" t="s">
        <v>124</v>
      </c>
      <c r="D93" s="162">
        <v>20</v>
      </c>
      <c r="E93" s="129"/>
      <c r="F93" s="104">
        <v>0</v>
      </c>
      <c r="G93" s="105"/>
      <c r="H93" s="117">
        <v>0</v>
      </c>
      <c r="I93" s="106"/>
      <c r="J93" s="107">
        <v>600</v>
      </c>
      <c r="K93" s="106"/>
      <c r="L93" s="29"/>
      <c r="M93" s="132"/>
      <c r="N93" s="56"/>
      <c r="Q93" s="118"/>
    </row>
    <row r="94" spans="1:17" ht="18.75" customHeight="1">
      <c r="A94" s="16"/>
      <c r="B94" s="152" t="s">
        <v>125</v>
      </c>
      <c r="C94" s="101" t="s">
        <v>126</v>
      </c>
      <c r="D94" s="162">
        <v>4223.82</v>
      </c>
      <c r="E94" s="129"/>
      <c r="F94" s="104">
        <v>2584.38</v>
      </c>
      <c r="G94" s="105"/>
      <c r="H94" s="104">
        <v>1500</v>
      </c>
      <c r="I94" s="106"/>
      <c r="J94" s="107">
        <v>6000</v>
      </c>
      <c r="K94" s="106"/>
      <c r="L94" s="29"/>
      <c r="M94" s="132"/>
      <c r="N94" s="56"/>
      <c r="Q94" s="109"/>
    </row>
    <row r="95" spans="1:17" ht="18.75" customHeight="1">
      <c r="A95" s="16"/>
      <c r="B95" s="152" t="s">
        <v>127</v>
      </c>
      <c r="C95" s="101" t="s">
        <v>128</v>
      </c>
      <c r="D95" s="162">
        <v>6681.59</v>
      </c>
      <c r="E95" s="129"/>
      <c r="F95" s="104">
        <v>10809.9</v>
      </c>
      <c r="G95" s="105"/>
      <c r="H95" s="104">
        <v>2000</v>
      </c>
      <c r="I95" s="106"/>
      <c r="J95" s="107">
        <v>7000</v>
      </c>
      <c r="K95" s="106"/>
      <c r="L95" s="29"/>
      <c r="M95" s="132"/>
      <c r="N95" s="56"/>
      <c r="Q95" s="109"/>
    </row>
    <row r="96" spans="1:17" ht="18" customHeight="1">
      <c r="A96" s="16"/>
      <c r="B96" s="152" t="s">
        <v>129</v>
      </c>
      <c r="C96" s="101" t="s">
        <v>130</v>
      </c>
      <c r="D96" s="162">
        <v>39289.410000000003</v>
      </c>
      <c r="E96" s="129"/>
      <c r="F96" s="104">
        <v>14329.32</v>
      </c>
      <c r="G96" s="105"/>
      <c r="H96" s="104">
        <v>15000</v>
      </c>
      <c r="I96" s="106"/>
      <c r="J96" s="107">
        <v>15000</v>
      </c>
      <c r="K96" s="106"/>
      <c r="L96" s="29"/>
      <c r="M96" s="132"/>
      <c r="N96" s="56"/>
      <c r="Q96" s="109"/>
    </row>
    <row r="97" spans="1:17">
      <c r="A97" s="16"/>
      <c r="B97" s="165"/>
      <c r="C97" s="92" t="s">
        <v>131</v>
      </c>
      <c r="D97" s="166">
        <f>D98+D101+D100+D111</f>
        <v>206092.75</v>
      </c>
      <c r="E97" s="95"/>
      <c r="F97" s="120">
        <f>F98+F99+F100+F101+F111</f>
        <v>194544.12</v>
      </c>
      <c r="G97" s="121"/>
      <c r="H97" s="120">
        <f>H98+H99+H100+H101+H111</f>
        <v>176007.84</v>
      </c>
      <c r="I97" s="122"/>
      <c r="J97" s="120">
        <f>J98+J99+J100+J101+J111</f>
        <v>408000</v>
      </c>
      <c r="K97" s="157"/>
      <c r="L97" s="29"/>
      <c r="M97" s="30"/>
      <c r="Q97" s="124"/>
    </row>
    <row r="98" spans="1:17" ht="16">
      <c r="A98" s="16"/>
      <c r="B98" s="152" t="s">
        <v>132</v>
      </c>
      <c r="C98" s="161" t="s">
        <v>133</v>
      </c>
      <c r="D98" s="162">
        <v>46784</v>
      </c>
      <c r="E98" s="129"/>
      <c r="F98" s="104">
        <v>0</v>
      </c>
      <c r="G98" s="105"/>
      <c r="H98" s="104">
        <v>23047.73</v>
      </c>
      <c r="I98" s="106"/>
      <c r="J98" s="104">
        <v>23500</v>
      </c>
      <c r="K98" s="167"/>
      <c r="L98" s="29"/>
      <c r="M98" s="30"/>
      <c r="Q98" s="109" t="s">
        <v>134</v>
      </c>
    </row>
    <row r="99" spans="1:17">
      <c r="A99" s="16"/>
      <c r="B99" s="152" t="s">
        <v>135</v>
      </c>
      <c r="C99" s="101" t="s">
        <v>136</v>
      </c>
      <c r="D99" s="162">
        <v>0</v>
      </c>
      <c r="E99" s="129"/>
      <c r="F99" s="104">
        <v>0</v>
      </c>
      <c r="G99" s="105"/>
      <c r="H99" s="104">
        <v>8910</v>
      </c>
      <c r="I99" s="106"/>
      <c r="J99" s="104">
        <v>9500</v>
      </c>
      <c r="K99" s="167"/>
      <c r="L99" s="29"/>
      <c r="M99" s="30"/>
      <c r="Q99" s="109" t="s">
        <v>137</v>
      </c>
    </row>
    <row r="100" spans="1:17">
      <c r="A100" s="16"/>
      <c r="B100" s="152" t="s">
        <v>138</v>
      </c>
      <c r="C100" s="101" t="s">
        <v>139</v>
      </c>
      <c r="D100" s="162">
        <v>107588.45</v>
      </c>
      <c r="E100" s="129"/>
      <c r="F100" s="104">
        <v>135740.13</v>
      </c>
      <c r="G100" s="105"/>
      <c r="H100" s="104">
        <v>98050.11</v>
      </c>
      <c r="I100" s="106"/>
      <c r="J100" s="104">
        <f>145000+180000</f>
        <v>325000</v>
      </c>
      <c r="K100" s="167"/>
      <c r="L100" s="29"/>
      <c r="M100" s="30"/>
      <c r="Q100" s="109" t="s">
        <v>140</v>
      </c>
    </row>
    <row r="101" spans="1:17">
      <c r="A101" s="16"/>
      <c r="B101" s="152" t="s">
        <v>141</v>
      </c>
      <c r="C101" s="101" t="s">
        <v>142</v>
      </c>
      <c r="D101" s="168">
        <f>SUM(D102:D110)</f>
        <v>49122.17</v>
      </c>
      <c r="E101" s="129"/>
      <c r="F101" s="169">
        <v>56123.61</v>
      </c>
      <c r="G101" s="105"/>
      <c r="H101" s="169">
        <f>SUM(H102:H110)</f>
        <v>45000</v>
      </c>
      <c r="I101" s="106"/>
      <c r="J101" s="169">
        <f>SUM(J102:J110)</f>
        <v>45000</v>
      </c>
      <c r="K101" s="167"/>
      <c r="L101" s="29"/>
      <c r="M101" s="133"/>
      <c r="Q101" s="110"/>
    </row>
    <row r="102" spans="1:17">
      <c r="A102" s="16"/>
      <c r="B102" s="152"/>
      <c r="C102" s="101" t="s">
        <v>143</v>
      </c>
      <c r="D102" s="162">
        <v>13682.13</v>
      </c>
      <c r="E102" s="129"/>
      <c r="F102" s="104">
        <v>1930.45</v>
      </c>
      <c r="G102" s="105"/>
      <c r="H102" s="104">
        <v>12000</v>
      </c>
      <c r="I102" s="106"/>
      <c r="J102" s="104">
        <v>3000</v>
      </c>
      <c r="K102" s="167"/>
      <c r="L102" s="29"/>
      <c r="M102" s="49"/>
      <c r="Q102" s="109"/>
    </row>
    <row r="103" spans="1:17">
      <c r="A103" s="16"/>
      <c r="B103" s="152"/>
      <c r="C103" s="101" t="s">
        <v>144</v>
      </c>
      <c r="D103" s="170">
        <v>3458.06</v>
      </c>
      <c r="E103" s="129"/>
      <c r="F103" s="104">
        <v>14156.66</v>
      </c>
      <c r="G103" s="105"/>
      <c r="H103" s="104">
        <v>6000</v>
      </c>
      <c r="I103" s="106"/>
      <c r="J103" s="104">
        <v>6000</v>
      </c>
      <c r="K103" s="167"/>
      <c r="L103" s="29"/>
      <c r="M103" s="49"/>
      <c r="Q103" s="109"/>
    </row>
    <row r="104" spans="1:17">
      <c r="A104" s="16"/>
      <c r="B104" s="152"/>
      <c r="C104" s="101" t="s">
        <v>145</v>
      </c>
      <c r="D104" s="162">
        <v>4269.54</v>
      </c>
      <c r="E104" s="129"/>
      <c r="F104" s="104">
        <v>3969.39</v>
      </c>
      <c r="G104" s="105"/>
      <c r="H104" s="104">
        <v>3500</v>
      </c>
      <c r="I104" s="106"/>
      <c r="J104" s="104">
        <v>1000</v>
      </c>
      <c r="K104" s="167"/>
      <c r="L104" s="29"/>
      <c r="M104" s="30"/>
      <c r="N104" s="56"/>
      <c r="Q104" s="109"/>
    </row>
    <row r="105" spans="1:17">
      <c r="A105" s="16"/>
      <c r="B105" s="171"/>
      <c r="C105" s="101" t="s">
        <v>146</v>
      </c>
      <c r="D105" s="170"/>
      <c r="E105" s="129"/>
      <c r="F105" s="104">
        <v>0</v>
      </c>
      <c r="G105" s="105"/>
      <c r="H105" s="104">
        <v>3000</v>
      </c>
      <c r="I105" s="106"/>
      <c r="J105" s="104">
        <v>3000</v>
      </c>
      <c r="K105" s="167"/>
      <c r="L105" s="29"/>
      <c r="M105" s="30"/>
      <c r="Q105" s="109"/>
    </row>
    <row r="106" spans="1:17">
      <c r="A106" s="16"/>
      <c r="B106" s="171"/>
      <c r="C106" s="101" t="s">
        <v>147</v>
      </c>
      <c r="D106" s="170">
        <v>6947.96</v>
      </c>
      <c r="E106" s="129"/>
      <c r="F106" s="104">
        <v>8499.06</v>
      </c>
      <c r="G106" s="105"/>
      <c r="H106" s="104">
        <v>3000</v>
      </c>
      <c r="I106" s="106"/>
      <c r="J106" s="104">
        <v>5000</v>
      </c>
      <c r="K106" s="167"/>
      <c r="L106" s="29"/>
      <c r="M106" s="30"/>
      <c r="Q106" s="109"/>
    </row>
    <row r="107" spans="1:17" ht="31">
      <c r="A107" s="16"/>
      <c r="B107" s="171"/>
      <c r="C107" s="161" t="s">
        <v>223</v>
      </c>
      <c r="D107" s="170">
        <v>2500</v>
      </c>
      <c r="E107" s="129"/>
      <c r="F107" s="104"/>
      <c r="G107" s="105"/>
      <c r="H107" s="104">
        <v>0</v>
      </c>
      <c r="I107" s="106"/>
      <c r="J107" s="104">
        <v>0</v>
      </c>
      <c r="K107" s="167"/>
      <c r="L107" s="29"/>
      <c r="M107" s="30"/>
      <c r="Q107" s="109"/>
    </row>
    <row r="108" spans="1:17">
      <c r="A108" s="16"/>
      <c r="B108" s="171"/>
      <c r="C108" s="101" t="s">
        <v>148</v>
      </c>
      <c r="D108" s="170">
        <v>2843.94</v>
      </c>
      <c r="E108" s="129"/>
      <c r="F108" s="104"/>
      <c r="G108" s="105"/>
      <c r="H108" s="104">
        <v>3000</v>
      </c>
      <c r="I108" s="106"/>
      <c r="J108" s="104">
        <v>0</v>
      </c>
      <c r="K108" s="167"/>
      <c r="L108" s="29"/>
      <c r="M108" s="30"/>
      <c r="Q108" s="109"/>
    </row>
    <row r="109" spans="1:17">
      <c r="A109" s="16"/>
      <c r="B109" s="171"/>
      <c r="C109" s="101" t="s">
        <v>149</v>
      </c>
      <c r="D109" s="170">
        <v>10016.56</v>
      </c>
      <c r="E109" s="129"/>
      <c r="F109" s="104">
        <v>15468.42</v>
      </c>
      <c r="G109" s="105"/>
      <c r="H109" s="104">
        <v>11000</v>
      </c>
      <c r="I109" s="106"/>
      <c r="J109" s="104">
        <v>16000</v>
      </c>
      <c r="K109" s="167"/>
      <c r="L109" s="29"/>
      <c r="M109" s="30"/>
      <c r="Q109" s="109"/>
    </row>
    <row r="110" spans="1:17">
      <c r="A110" s="16"/>
      <c r="B110" s="152"/>
      <c r="C110" s="101" t="s">
        <v>150</v>
      </c>
      <c r="D110" s="170">
        <v>5403.98</v>
      </c>
      <c r="E110" s="129"/>
      <c r="F110" s="104">
        <v>12099.63</v>
      </c>
      <c r="G110" s="105"/>
      <c r="H110" s="104">
        <v>3500</v>
      </c>
      <c r="I110" s="106"/>
      <c r="J110" s="104">
        <v>11000</v>
      </c>
      <c r="K110" s="167"/>
      <c r="L110" s="29"/>
      <c r="M110" s="30"/>
      <c r="N110" s="56"/>
      <c r="Q110" s="109"/>
    </row>
    <row r="111" spans="1:17">
      <c r="A111" s="16"/>
      <c r="B111" s="152" t="s">
        <v>151</v>
      </c>
      <c r="C111" s="101" t="s">
        <v>152</v>
      </c>
      <c r="D111" s="170">
        <v>2598.13</v>
      </c>
      <c r="E111" s="129"/>
      <c r="F111" s="172">
        <v>2680.38</v>
      </c>
      <c r="G111" s="173"/>
      <c r="H111" s="117">
        <v>1000</v>
      </c>
      <c r="I111" s="106"/>
      <c r="J111" s="117">
        <v>5000</v>
      </c>
      <c r="K111" s="167"/>
      <c r="L111" s="29"/>
      <c r="M111" s="30"/>
      <c r="Q111" s="118"/>
    </row>
    <row r="112" spans="1:17">
      <c r="A112" s="16"/>
      <c r="B112" s="165"/>
      <c r="C112" s="92" t="s">
        <v>153</v>
      </c>
      <c r="D112" s="158">
        <f>SUM(D113:D118)</f>
        <v>12273867.560000001</v>
      </c>
      <c r="E112" s="95"/>
      <c r="F112" s="120">
        <f>SUM(F113:F118)</f>
        <v>8864517.7699999996</v>
      </c>
      <c r="G112" s="121"/>
      <c r="H112" s="120">
        <f>SUM(H113:H118)</f>
        <v>8607317.2799999993</v>
      </c>
      <c r="I112" s="122"/>
      <c r="J112" s="174">
        <f>SUM(J114:J118)</f>
        <v>10131600</v>
      </c>
      <c r="K112" s="157"/>
      <c r="L112" s="29"/>
      <c r="M112" s="30"/>
      <c r="Q112" s="124"/>
    </row>
    <row r="113" spans="1:17">
      <c r="A113" s="16"/>
      <c r="B113" s="152" t="s">
        <v>154</v>
      </c>
      <c r="C113" s="101" t="s">
        <v>155</v>
      </c>
      <c r="D113" s="170"/>
      <c r="E113" s="129"/>
      <c r="F113" s="104">
        <v>0</v>
      </c>
      <c r="G113" s="105"/>
      <c r="H113" s="104">
        <v>0</v>
      </c>
      <c r="I113" s="106"/>
      <c r="J113" s="107">
        <v>0</v>
      </c>
      <c r="K113" s="106"/>
      <c r="L113" s="29"/>
      <c r="M113" s="30"/>
      <c r="Q113" s="109"/>
    </row>
    <row r="114" spans="1:17">
      <c r="A114" s="16"/>
      <c r="B114" s="152" t="s">
        <v>156</v>
      </c>
      <c r="C114" s="101" t="s">
        <v>157</v>
      </c>
      <c r="D114" s="170">
        <v>9992195.4600000009</v>
      </c>
      <c r="E114" s="129"/>
      <c r="F114" s="104">
        <v>8854402.7699999996</v>
      </c>
      <c r="G114" s="105"/>
      <c r="H114" s="104">
        <v>8592744.5199999996</v>
      </c>
      <c r="I114" s="106"/>
      <c r="J114" s="107">
        <f>26000*176.4+26500*208.8</f>
        <v>10119600</v>
      </c>
      <c r="K114" s="106"/>
      <c r="L114" s="29"/>
      <c r="M114" s="99"/>
      <c r="Q114" s="109" t="s">
        <v>158</v>
      </c>
    </row>
    <row r="115" spans="1:17">
      <c r="A115" s="16"/>
      <c r="B115" s="152" t="s">
        <v>159</v>
      </c>
      <c r="C115" s="101" t="s">
        <v>160</v>
      </c>
      <c r="D115" s="170">
        <v>2271723.7000000002</v>
      </c>
      <c r="E115" s="129"/>
      <c r="F115" s="104">
        <v>0</v>
      </c>
      <c r="G115" s="105"/>
      <c r="H115" s="104"/>
      <c r="I115" s="106"/>
      <c r="J115" s="107">
        <v>0</v>
      </c>
      <c r="K115" s="106"/>
      <c r="L115" s="29"/>
      <c r="M115" s="30"/>
      <c r="Q115" s="109"/>
    </row>
    <row r="116" spans="1:17">
      <c r="A116" s="16"/>
      <c r="B116" s="152" t="s">
        <v>161</v>
      </c>
      <c r="C116" s="101" t="s">
        <v>162</v>
      </c>
      <c r="D116" s="170"/>
      <c r="E116" s="129"/>
      <c r="F116" s="104"/>
      <c r="G116" s="105"/>
      <c r="H116" s="104">
        <v>0</v>
      </c>
      <c r="I116" s="106"/>
      <c r="J116" s="107">
        <v>0</v>
      </c>
      <c r="K116" s="106"/>
      <c r="L116" s="29"/>
      <c r="M116" s="30"/>
      <c r="Q116" s="109"/>
    </row>
    <row r="117" spans="1:17">
      <c r="A117" s="16"/>
      <c r="B117" s="152" t="s">
        <v>163</v>
      </c>
      <c r="C117" s="101" t="s">
        <v>164</v>
      </c>
      <c r="D117" s="170">
        <v>9948.4</v>
      </c>
      <c r="E117" s="129"/>
      <c r="F117" s="104">
        <v>10115</v>
      </c>
      <c r="G117" s="105"/>
      <c r="H117" s="104">
        <v>14572.76</v>
      </c>
      <c r="I117" s="106"/>
      <c r="J117" s="107">
        <v>12000</v>
      </c>
      <c r="K117" s="106"/>
      <c r="L117" s="29"/>
      <c r="M117" s="30"/>
      <c r="Q117" s="109" t="s">
        <v>165</v>
      </c>
    </row>
    <row r="118" spans="1:17">
      <c r="A118" s="16"/>
      <c r="B118" s="152" t="s">
        <v>166</v>
      </c>
      <c r="C118" s="101" t="s">
        <v>167</v>
      </c>
      <c r="D118" s="170"/>
      <c r="E118" s="129"/>
      <c r="F118" s="104">
        <v>0</v>
      </c>
      <c r="G118" s="105"/>
      <c r="H118" s="104">
        <v>0</v>
      </c>
      <c r="I118" s="106"/>
      <c r="J118" s="107">
        <v>0</v>
      </c>
      <c r="K118" s="106"/>
      <c r="L118" s="29"/>
      <c r="M118" s="30"/>
      <c r="Q118" s="109"/>
    </row>
    <row r="119" spans="1:17" ht="43" customHeight="1">
      <c r="A119" s="16"/>
      <c r="B119" s="165"/>
      <c r="C119" s="175" t="s">
        <v>168</v>
      </c>
      <c r="D119" s="166">
        <f>SUM(D120:D126)</f>
        <v>266486.87</v>
      </c>
      <c r="E119" s="95"/>
      <c r="F119" s="120">
        <f>SUM(F120:F125)</f>
        <v>236753.58000000002</v>
      </c>
      <c r="G119" s="121"/>
      <c r="H119" s="120">
        <f>SUM(H120:H126)</f>
        <v>416384.9</v>
      </c>
      <c r="I119" s="122"/>
      <c r="J119" s="123">
        <f>SUM(J120:J126)</f>
        <v>441717.5</v>
      </c>
      <c r="K119" s="122"/>
      <c r="L119" s="29"/>
      <c r="M119" s="30"/>
      <c r="Q119" s="124"/>
    </row>
    <row r="120" spans="1:17">
      <c r="A120" s="16"/>
      <c r="B120" s="152" t="s">
        <v>169</v>
      </c>
      <c r="C120" s="101" t="s">
        <v>170</v>
      </c>
      <c r="D120" s="162">
        <v>30828.82</v>
      </c>
      <c r="E120" s="129"/>
      <c r="F120" s="104">
        <v>40466.36</v>
      </c>
      <c r="G120" s="105"/>
      <c r="H120" s="104">
        <v>27250</v>
      </c>
      <c r="I120" s="106"/>
      <c r="J120" s="107">
        <v>75000</v>
      </c>
      <c r="K120" s="106"/>
      <c r="L120" s="29"/>
      <c r="M120" s="30"/>
      <c r="Q120" s="109"/>
    </row>
    <row r="121" spans="1:17">
      <c r="A121" s="16"/>
      <c r="B121" s="152" t="s">
        <v>171</v>
      </c>
      <c r="C121" s="101" t="s">
        <v>172</v>
      </c>
      <c r="D121" s="162">
        <v>11582.99</v>
      </c>
      <c r="E121" s="129"/>
      <c r="F121" s="104">
        <v>42050</v>
      </c>
      <c r="G121" s="105"/>
      <c r="H121" s="104">
        <v>10000</v>
      </c>
      <c r="I121" s="106"/>
      <c r="J121" s="107">
        <v>30000</v>
      </c>
      <c r="K121" s="106"/>
      <c r="L121" s="29"/>
      <c r="M121" s="30"/>
      <c r="Q121" s="109"/>
    </row>
    <row r="122" spans="1:17">
      <c r="A122" s="16"/>
      <c r="B122" s="152" t="s">
        <v>173</v>
      </c>
      <c r="C122" s="101" t="s">
        <v>174</v>
      </c>
      <c r="D122" s="162">
        <v>24877.8</v>
      </c>
      <c r="E122" s="129"/>
      <c r="F122" s="104">
        <v>0</v>
      </c>
      <c r="G122" s="105"/>
      <c r="H122" s="104">
        <v>102057</v>
      </c>
      <c r="I122" s="106"/>
      <c r="J122" s="163">
        <v>75000</v>
      </c>
      <c r="K122" s="106"/>
      <c r="L122" s="29"/>
      <c r="M122" s="30"/>
      <c r="Q122" s="109" t="s">
        <v>222</v>
      </c>
    </row>
    <row r="123" spans="1:17">
      <c r="A123" s="16"/>
      <c r="B123" s="152" t="s">
        <v>175</v>
      </c>
      <c r="C123" s="101" t="s">
        <v>176</v>
      </c>
      <c r="D123" s="162">
        <v>28489</v>
      </c>
      <c r="E123" s="129"/>
      <c r="F123" s="104">
        <v>27519.45</v>
      </c>
      <c r="G123" s="105"/>
      <c r="H123" s="117">
        <v>30000</v>
      </c>
      <c r="I123" s="106"/>
      <c r="J123" s="107">
        <v>30000</v>
      </c>
      <c r="K123" s="106"/>
      <c r="L123" s="29"/>
      <c r="M123" s="30"/>
      <c r="Q123" s="118"/>
    </row>
    <row r="124" spans="1:17">
      <c r="A124" s="16"/>
      <c r="B124" s="152" t="s">
        <v>177</v>
      </c>
      <c r="C124" s="101" t="s">
        <v>178</v>
      </c>
      <c r="D124" s="162">
        <v>61282.26</v>
      </c>
      <c r="E124" s="129"/>
      <c r="F124" s="104">
        <v>74787.77</v>
      </c>
      <c r="G124" s="105"/>
      <c r="H124" s="104">
        <v>74525.399999999994</v>
      </c>
      <c r="I124" s="106"/>
      <c r="J124" s="107">
        <v>120000</v>
      </c>
      <c r="K124" s="106"/>
      <c r="L124" s="29"/>
      <c r="M124" s="30"/>
      <c r="Q124" s="109"/>
    </row>
    <row r="125" spans="1:17">
      <c r="A125" s="16"/>
      <c r="B125" s="152" t="s">
        <v>179</v>
      </c>
      <c r="C125" s="101" t="s">
        <v>180</v>
      </c>
      <c r="D125" s="162">
        <v>109426</v>
      </c>
      <c r="E125" s="129"/>
      <c r="F125" s="104">
        <v>51930</v>
      </c>
      <c r="G125" s="105"/>
      <c r="H125" s="104">
        <v>161717.5</v>
      </c>
      <c r="I125" s="106"/>
      <c r="J125" s="107">
        <v>111717.5</v>
      </c>
      <c r="K125" s="106"/>
      <c r="L125" s="29"/>
      <c r="M125" s="30"/>
      <c r="Q125" s="109"/>
    </row>
    <row r="126" spans="1:17">
      <c r="A126" s="16"/>
      <c r="B126" s="152" t="s">
        <v>181</v>
      </c>
      <c r="C126" s="101" t="s">
        <v>182</v>
      </c>
      <c r="D126" s="162">
        <v>0</v>
      </c>
      <c r="E126" s="129"/>
      <c r="F126" s="104">
        <v>0</v>
      </c>
      <c r="G126" s="105"/>
      <c r="H126" s="104">
        <v>10835</v>
      </c>
      <c r="I126" s="106"/>
      <c r="J126" s="107">
        <v>0</v>
      </c>
      <c r="K126" s="106"/>
      <c r="L126" s="29"/>
      <c r="M126" s="30"/>
      <c r="Q126" s="109"/>
    </row>
    <row r="127" spans="1:17">
      <c r="A127" s="16"/>
      <c r="B127" s="165"/>
      <c r="C127" s="176" t="s">
        <v>183</v>
      </c>
      <c r="D127" s="166">
        <f>SUM(D128:D129)</f>
        <v>44053.11</v>
      </c>
      <c r="E127" s="177"/>
      <c r="F127" s="120">
        <f>SUM(F128:F129)</f>
        <v>39450</v>
      </c>
      <c r="G127" s="178"/>
      <c r="H127" s="120">
        <f>SUM(H128:H129)</f>
        <v>50000</v>
      </c>
      <c r="I127" s="179"/>
      <c r="J127" s="123">
        <f>SUM(J128:J129)</f>
        <v>80000</v>
      </c>
      <c r="K127" s="179"/>
      <c r="L127" s="29"/>
      <c r="M127" s="30"/>
      <c r="Q127" s="124"/>
    </row>
    <row r="128" spans="1:17" ht="31">
      <c r="A128" s="16"/>
      <c r="B128" s="152" t="s">
        <v>184</v>
      </c>
      <c r="C128" s="161" t="s">
        <v>185</v>
      </c>
      <c r="D128" s="162">
        <v>2648.99</v>
      </c>
      <c r="E128" s="129"/>
      <c r="F128" s="104">
        <v>0</v>
      </c>
      <c r="G128" s="105"/>
      <c r="H128" s="117">
        <v>10000</v>
      </c>
      <c r="I128" s="106"/>
      <c r="J128" s="107">
        <v>20000</v>
      </c>
      <c r="K128" s="106"/>
      <c r="L128" s="29"/>
      <c r="M128" s="30"/>
      <c r="Q128" s="118"/>
    </row>
    <row r="129" spans="1:18">
      <c r="A129" s="16"/>
      <c r="B129" s="152" t="s">
        <v>186</v>
      </c>
      <c r="C129" s="101" t="s">
        <v>187</v>
      </c>
      <c r="D129" s="162">
        <v>41404.120000000003</v>
      </c>
      <c r="E129" s="129"/>
      <c r="F129" s="104">
        <v>39450</v>
      </c>
      <c r="G129" s="105"/>
      <c r="H129" s="104">
        <v>40000</v>
      </c>
      <c r="I129" s="106"/>
      <c r="J129" s="107">
        <v>60000</v>
      </c>
      <c r="K129" s="106"/>
      <c r="L129" s="29"/>
      <c r="M129" s="30"/>
      <c r="Q129" s="109"/>
    </row>
    <row r="130" spans="1:18">
      <c r="A130" s="16"/>
      <c r="B130" s="180"/>
      <c r="C130" s="92" t="s">
        <v>188</v>
      </c>
      <c r="D130" s="166">
        <f>SUM(D131:D132)</f>
        <v>362603.8</v>
      </c>
      <c r="E130" s="177"/>
      <c r="F130" s="120">
        <f>SUM(F131:F132)</f>
        <v>1595447.48</v>
      </c>
      <c r="G130" s="178"/>
      <c r="H130" s="166">
        <f>SUM(H131:H132)</f>
        <v>1801503.71</v>
      </c>
      <c r="I130" s="179"/>
      <c r="J130" s="123">
        <f>SUM(J131:J132)</f>
        <v>0</v>
      </c>
      <c r="K130" s="179"/>
      <c r="L130" s="29"/>
      <c r="M130" s="30"/>
      <c r="Q130" s="181"/>
    </row>
    <row r="131" spans="1:18">
      <c r="A131" s="16"/>
      <c r="B131" s="152" t="s">
        <v>189</v>
      </c>
      <c r="C131" s="101" t="s">
        <v>190</v>
      </c>
      <c r="D131" s="162">
        <v>362603.8</v>
      </c>
      <c r="E131" s="129"/>
      <c r="F131" s="104">
        <v>651422.5</v>
      </c>
      <c r="G131" s="105"/>
      <c r="H131" s="104">
        <v>226075.64</v>
      </c>
      <c r="I131" s="106"/>
      <c r="J131" s="107">
        <v>0</v>
      </c>
      <c r="K131" s="106"/>
      <c r="L131" s="29"/>
      <c r="M131" s="30"/>
      <c r="Q131" s="109"/>
    </row>
    <row r="132" spans="1:18">
      <c r="A132" s="16"/>
      <c r="B132" s="152" t="s">
        <v>191</v>
      </c>
      <c r="C132" s="101" t="s">
        <v>192</v>
      </c>
      <c r="D132" s="162"/>
      <c r="E132" s="129"/>
      <c r="F132" s="104">
        <v>944024.98</v>
      </c>
      <c r="G132" s="105"/>
      <c r="H132" s="104">
        <v>1575428.07</v>
      </c>
      <c r="I132" s="106"/>
      <c r="J132" s="107">
        <v>0</v>
      </c>
      <c r="K132" s="106"/>
      <c r="L132" s="29"/>
      <c r="M132" s="30"/>
      <c r="Q132" s="109"/>
    </row>
    <row r="133" spans="1:18" ht="30" customHeight="1">
      <c r="A133" s="16"/>
      <c r="B133" s="182"/>
      <c r="C133" s="183" t="s">
        <v>193</v>
      </c>
      <c r="D133" s="184">
        <f>D127+D119+D112+D97+D89+D130</f>
        <v>13266270.150000002</v>
      </c>
      <c r="E133" s="185"/>
      <c r="F133" s="186">
        <f>SUM(F127,F119,F89,F97,F112,F130)</f>
        <v>11022642.18</v>
      </c>
      <c r="G133" s="187"/>
      <c r="H133" s="186">
        <f>SUM(H127,H119,H112,H89,H97)+H130</f>
        <v>11148131.02</v>
      </c>
      <c r="I133" s="188"/>
      <c r="J133" s="187">
        <f>SUM(J89,J97,J112,J119,J127,J130)</f>
        <v>11175917.5</v>
      </c>
      <c r="K133" s="188"/>
      <c r="L133" s="189"/>
      <c r="M133" s="30"/>
      <c r="Q133" s="190"/>
    </row>
    <row r="134" spans="1:18">
      <c r="A134" s="16"/>
      <c r="B134" s="129"/>
      <c r="C134" s="191"/>
      <c r="D134" s="59"/>
      <c r="E134" s="129"/>
      <c r="F134" s="170"/>
      <c r="G134" s="105"/>
      <c r="H134" s="59"/>
      <c r="I134" s="106"/>
      <c r="J134" s="107"/>
      <c r="K134" s="106"/>
      <c r="L134" s="16"/>
      <c r="M134" s="30"/>
      <c r="Q134" s="60"/>
    </row>
    <row r="135" spans="1:18" ht="30" customHeight="1">
      <c r="A135" s="16"/>
      <c r="B135" s="182"/>
      <c r="C135" s="192" t="s">
        <v>194</v>
      </c>
      <c r="D135" s="186">
        <v>0</v>
      </c>
      <c r="E135" s="185"/>
      <c r="F135" s="186">
        <v>0</v>
      </c>
      <c r="G135" s="187"/>
      <c r="H135" s="186">
        <v>0</v>
      </c>
      <c r="I135" s="188"/>
      <c r="J135" s="193">
        <v>0</v>
      </c>
      <c r="K135" s="194"/>
      <c r="L135" s="16"/>
      <c r="M135" s="30"/>
      <c r="O135" s="9">
        <f>1.5*3+3.3</f>
        <v>7.8</v>
      </c>
      <c r="P135" s="9">
        <f>O135/4</f>
        <v>1.95</v>
      </c>
      <c r="Q135" s="11"/>
    </row>
    <row r="136" spans="1:18">
      <c r="A136" s="16"/>
      <c r="B136" s="195"/>
      <c r="C136" s="195"/>
      <c r="D136" s="196"/>
      <c r="E136" s="197"/>
      <c r="F136" s="196"/>
      <c r="G136" s="197"/>
      <c r="H136" s="198"/>
      <c r="I136" s="199"/>
      <c r="J136" s="200"/>
      <c r="K136" s="199"/>
      <c r="L136" s="16"/>
      <c r="M136" s="30"/>
      <c r="Q136" s="201"/>
    </row>
    <row r="137" spans="1:18" ht="34.5" customHeight="1">
      <c r="A137" s="16"/>
      <c r="B137" s="202"/>
      <c r="C137" s="203" t="s">
        <v>195</v>
      </c>
      <c r="D137" s="204">
        <f>D135+D133+D84</f>
        <v>13649356.300000003</v>
      </c>
      <c r="E137" s="205"/>
      <c r="F137" s="204">
        <f>F135+F84+F133</f>
        <v>11469896.109999999</v>
      </c>
      <c r="G137" s="206"/>
      <c r="H137" s="204">
        <f>H135+H133+H84</f>
        <v>11647324.289999999</v>
      </c>
      <c r="I137" s="207"/>
      <c r="J137" s="208">
        <f>J84+J133+J135</f>
        <v>11738009.5</v>
      </c>
      <c r="K137" s="207"/>
      <c r="L137" s="16"/>
      <c r="M137" s="30"/>
      <c r="Q137" s="209"/>
    </row>
    <row r="138" spans="1:18" ht="21.75" customHeight="1">
      <c r="A138" s="16"/>
      <c r="B138" s="270"/>
      <c r="C138" s="270"/>
      <c r="D138" s="270"/>
      <c r="E138" s="270"/>
      <c r="F138" s="270"/>
      <c r="G138" s="270"/>
      <c r="H138" s="270"/>
      <c r="I138" s="270"/>
      <c r="J138" s="210"/>
      <c r="K138" s="2"/>
      <c r="L138" s="16"/>
      <c r="M138" s="30"/>
      <c r="Q138" s="11"/>
    </row>
    <row r="139" spans="1:18" ht="29.25" customHeight="1">
      <c r="A139" s="16"/>
      <c r="B139" s="211"/>
      <c r="C139" s="211" t="s">
        <v>196</v>
      </c>
      <c r="D139" s="186">
        <f>D16-D137</f>
        <v>0</v>
      </c>
      <c r="E139" s="211"/>
      <c r="F139" s="186">
        <f>F16-F137</f>
        <v>0</v>
      </c>
      <c r="G139" s="212"/>
      <c r="H139" s="186">
        <f>H16-H137</f>
        <v>0</v>
      </c>
      <c r="I139" s="213"/>
      <c r="J139" s="187">
        <f>J16-J137</f>
        <v>0</v>
      </c>
      <c r="K139" s="213"/>
      <c r="L139" s="16"/>
      <c r="M139" s="132">
        <f>H139*-1</f>
        <v>0</v>
      </c>
      <c r="Q139" s="190"/>
    </row>
    <row r="140" spans="1:18">
      <c r="A140" s="16"/>
      <c r="B140" s="262"/>
      <c r="C140" s="262"/>
      <c r="D140" s="262"/>
      <c r="E140" s="262"/>
      <c r="F140" s="262"/>
      <c r="G140" s="262"/>
      <c r="H140" s="262"/>
      <c r="I140" s="262"/>
      <c r="J140" s="214"/>
      <c r="K140" s="215"/>
      <c r="L140" s="69"/>
      <c r="M140" s="30"/>
      <c r="Q140" s="11"/>
    </row>
    <row r="141" spans="1:18">
      <c r="A141" s="16"/>
      <c r="B141" s="262"/>
      <c r="C141" s="262"/>
      <c r="D141" s="262"/>
      <c r="E141" s="262"/>
      <c r="F141" s="262"/>
      <c r="G141" s="262"/>
      <c r="H141" s="262"/>
      <c r="I141" s="262"/>
      <c r="J141" s="216"/>
      <c r="K141" s="217"/>
      <c r="L141" s="218"/>
      <c r="M141" s="30"/>
      <c r="Q141" s="11"/>
    </row>
    <row r="142" spans="1:18" ht="23.25" customHeight="1">
      <c r="A142" s="69"/>
      <c r="B142" s="263"/>
      <c r="C142" s="263"/>
      <c r="D142" s="263"/>
      <c r="E142" s="263"/>
      <c r="F142" s="263"/>
      <c r="G142" s="263"/>
      <c r="H142" s="263"/>
      <c r="I142" s="263"/>
      <c r="J142" s="219"/>
      <c r="K142" s="1"/>
      <c r="L142" s="69"/>
      <c r="M142" s="30"/>
      <c r="N142" s="220">
        <f>F143+H131-H14</f>
        <v>2233287.4300000002</v>
      </c>
      <c r="Q142" s="11"/>
    </row>
    <row r="143" spans="1:18" ht="23.25" customHeight="1">
      <c r="A143" s="69"/>
      <c r="B143" s="221"/>
      <c r="C143" s="222" t="s">
        <v>197</v>
      </c>
      <c r="D143" s="264">
        <f>SUM(D144:D154)</f>
        <v>1334756.02</v>
      </c>
      <c r="E143" s="264"/>
      <c r="F143" s="265">
        <f>SUM(F144:F157)</f>
        <v>2007211.79</v>
      </c>
      <c r="G143" s="265"/>
      <c r="H143" s="266">
        <f>SUM(H144:H156)</f>
        <v>1584600</v>
      </c>
      <c r="I143" s="266"/>
      <c r="J143" s="223">
        <f>SUM(J144:J157)</f>
        <v>1340000</v>
      </c>
      <c r="K143" s="224"/>
      <c r="L143" s="69"/>
      <c r="M143" s="30" t="s">
        <v>198</v>
      </c>
      <c r="Q143" s="11"/>
    </row>
    <row r="144" spans="1:18" ht="23.25" customHeight="1">
      <c r="A144" s="69"/>
      <c r="B144" s="225"/>
      <c r="C144" s="226" t="s">
        <v>199</v>
      </c>
      <c r="D144" s="259">
        <v>146472.48000000001</v>
      </c>
      <c r="E144" s="259"/>
      <c r="F144" s="259">
        <v>0</v>
      </c>
      <c r="G144" s="259"/>
      <c r="H144" s="259">
        <v>0</v>
      </c>
      <c r="I144" s="259"/>
      <c r="J144" s="228">
        <v>0</v>
      </c>
      <c r="K144" s="229"/>
      <c r="L144" s="69"/>
      <c r="M144" s="99">
        <f t="shared" ref="M144:M151" si="6">H144-F144</f>
        <v>0</v>
      </c>
      <c r="O144" s="9" t="s">
        <v>200</v>
      </c>
      <c r="P144" s="9" t="s">
        <v>201</v>
      </c>
      <c r="Q144" s="230"/>
      <c r="R144" s="220"/>
    </row>
    <row r="145" spans="1:17" ht="23.25" customHeight="1">
      <c r="A145" s="69"/>
      <c r="B145" s="225"/>
      <c r="C145" s="226" t="s">
        <v>202</v>
      </c>
      <c r="D145" s="259">
        <v>25802</v>
      </c>
      <c r="E145" s="259"/>
      <c r="F145" s="259">
        <v>0</v>
      </c>
      <c r="G145" s="259"/>
      <c r="H145" s="259">
        <v>0</v>
      </c>
      <c r="I145" s="259"/>
      <c r="J145" s="228">
        <v>0</v>
      </c>
      <c r="K145" s="229"/>
      <c r="L145" s="69"/>
      <c r="M145" s="99">
        <f t="shared" si="6"/>
        <v>0</v>
      </c>
      <c r="O145" s="220">
        <f>M145+M146+M147+M150+H151</f>
        <v>1022463.55</v>
      </c>
      <c r="P145" s="220" t="e">
        <f>(M149+#REF!)*-1</f>
        <v>#REF!</v>
      </c>
      <c r="Q145" s="230"/>
    </row>
    <row r="146" spans="1:17" ht="23.25" customHeight="1">
      <c r="A146" s="69"/>
      <c r="B146" s="225"/>
      <c r="C146" s="226" t="s">
        <v>203</v>
      </c>
      <c r="D146" s="259">
        <v>250335.81</v>
      </c>
      <c r="E146" s="259"/>
      <c r="F146" s="259">
        <v>266559.13</v>
      </c>
      <c r="G146" s="259"/>
      <c r="H146" s="259">
        <v>260000</v>
      </c>
      <c r="I146" s="259"/>
      <c r="J146" s="228">
        <v>80000</v>
      </c>
      <c r="K146" s="229"/>
      <c r="L146" s="69"/>
      <c r="M146" s="99">
        <f t="shared" si="6"/>
        <v>-6559.1300000000047</v>
      </c>
      <c r="O146" s="9" t="s">
        <v>204</v>
      </c>
      <c r="Q146" s="230"/>
    </row>
    <row r="147" spans="1:17" ht="23.25" customHeight="1">
      <c r="A147" s="69"/>
      <c r="B147" s="225"/>
      <c r="C147" s="226" t="s">
        <v>205</v>
      </c>
      <c r="D147" s="259">
        <v>53175</v>
      </c>
      <c r="E147" s="259"/>
      <c r="F147" s="259">
        <v>62715</v>
      </c>
      <c r="G147" s="259"/>
      <c r="H147" s="259">
        <v>27600</v>
      </c>
      <c r="I147" s="259"/>
      <c r="J147" s="228">
        <v>22000</v>
      </c>
      <c r="K147" s="229"/>
      <c r="L147" s="69"/>
      <c r="M147" s="99">
        <f t="shared" si="6"/>
        <v>-35115</v>
      </c>
      <c r="O147" s="220" t="e">
        <f>(M144+M148+#REF!+M149-F151)*-1</f>
        <v>#REF!</v>
      </c>
      <c r="P147" s="9" t="s">
        <v>206</v>
      </c>
      <c r="Q147" s="230" t="s">
        <v>137</v>
      </c>
    </row>
    <row r="148" spans="1:17" ht="23.25" customHeight="1">
      <c r="A148" s="69"/>
      <c r="B148" s="225"/>
      <c r="C148" s="226" t="s">
        <v>207</v>
      </c>
      <c r="D148" s="259">
        <v>39338</v>
      </c>
      <c r="E148" s="259"/>
      <c r="F148" s="259">
        <v>61779.86</v>
      </c>
      <c r="G148" s="259"/>
      <c r="H148" s="259">
        <v>33000</v>
      </c>
      <c r="I148" s="259"/>
      <c r="J148" s="228">
        <v>34000</v>
      </c>
      <c r="K148" s="229"/>
      <c r="L148" s="69"/>
      <c r="M148" s="99">
        <f t="shared" si="6"/>
        <v>-28779.86</v>
      </c>
      <c r="O148" s="9" t="s">
        <v>208</v>
      </c>
      <c r="P148" s="231">
        <f>F145</f>
        <v>0</v>
      </c>
      <c r="Q148" s="230" t="s">
        <v>209</v>
      </c>
    </row>
    <row r="149" spans="1:17" ht="23.25" customHeight="1">
      <c r="A149" s="69"/>
      <c r="B149" s="225"/>
      <c r="C149" s="226" t="s">
        <v>210</v>
      </c>
      <c r="D149" s="259">
        <v>237130.14</v>
      </c>
      <c r="E149" s="259"/>
      <c r="F149" s="259">
        <v>237130.14</v>
      </c>
      <c r="G149" s="259"/>
      <c r="H149" s="259">
        <v>0</v>
      </c>
      <c r="I149" s="259"/>
      <c r="J149" s="228">
        <v>0</v>
      </c>
      <c r="K149" s="229"/>
      <c r="L149" s="69"/>
      <c r="M149" s="99">
        <f t="shared" si="6"/>
        <v>-237130.14</v>
      </c>
      <c r="O149" s="220" t="e">
        <f>O145-O147</f>
        <v>#REF!</v>
      </c>
      <c r="Q149" s="230"/>
    </row>
    <row r="150" spans="1:17" ht="23.25" customHeight="1">
      <c r="A150" s="69"/>
      <c r="B150" s="225"/>
      <c r="C150" s="226" t="s">
        <v>211</v>
      </c>
      <c r="D150" s="259">
        <v>97097.49</v>
      </c>
      <c r="E150" s="259"/>
      <c r="F150" s="259">
        <v>139862.32</v>
      </c>
      <c r="G150" s="259"/>
      <c r="H150" s="259">
        <v>0</v>
      </c>
      <c r="I150" s="259"/>
      <c r="J150" s="228">
        <v>0</v>
      </c>
      <c r="K150" s="229"/>
      <c r="L150" s="69"/>
      <c r="M150" s="99">
        <f t="shared" si="6"/>
        <v>-139862.32</v>
      </c>
      <c r="Q150" s="230"/>
    </row>
    <row r="151" spans="1:17" ht="23.25" customHeight="1">
      <c r="A151" s="69"/>
      <c r="B151" s="225"/>
      <c r="C151" s="226" t="s">
        <v>212</v>
      </c>
      <c r="D151" s="259">
        <v>485405.1</v>
      </c>
      <c r="E151" s="259"/>
      <c r="F151" s="259">
        <v>415451.3</v>
      </c>
      <c r="G151" s="259"/>
      <c r="H151" s="259">
        <v>1204000</v>
      </c>
      <c r="I151" s="259"/>
      <c r="J151" s="228">
        <v>1204000</v>
      </c>
      <c r="K151" s="229"/>
      <c r="L151" s="69"/>
      <c r="M151" s="99">
        <f t="shared" si="6"/>
        <v>788548.7</v>
      </c>
      <c r="Q151" s="230" t="s">
        <v>213</v>
      </c>
    </row>
    <row r="152" spans="1:17" ht="23.25" customHeight="1">
      <c r="A152" s="69"/>
      <c r="B152" s="225"/>
      <c r="C152" s="226" t="s">
        <v>214</v>
      </c>
      <c r="D152" s="227"/>
      <c r="E152" s="227"/>
      <c r="F152" s="259">
        <v>333215.34999999998</v>
      </c>
      <c r="G152" s="259"/>
      <c r="H152" s="259">
        <v>0</v>
      </c>
      <c r="I152" s="259"/>
      <c r="J152" s="228">
        <v>0</v>
      </c>
      <c r="K152" s="229"/>
      <c r="L152" s="69"/>
      <c r="M152" s="99"/>
      <c r="Q152" s="230"/>
    </row>
    <row r="153" spans="1:17" ht="23.25" customHeight="1">
      <c r="A153" s="69"/>
      <c r="B153" s="225"/>
      <c r="C153" s="226" t="s">
        <v>215</v>
      </c>
      <c r="D153" s="227"/>
      <c r="E153" s="227"/>
      <c r="F153" s="259">
        <v>80283</v>
      </c>
      <c r="G153" s="259"/>
      <c r="H153" s="259">
        <v>50000</v>
      </c>
      <c r="I153" s="259"/>
      <c r="J153" s="228">
        <v>0</v>
      </c>
      <c r="K153" s="229"/>
      <c r="L153" s="69"/>
      <c r="M153" s="99"/>
      <c r="Q153" s="230"/>
    </row>
    <row r="154" spans="1:17" ht="23.25" customHeight="1">
      <c r="A154" s="69"/>
      <c r="B154" s="225"/>
      <c r="C154" s="226" t="s">
        <v>216</v>
      </c>
      <c r="D154" s="227"/>
      <c r="E154" s="227"/>
      <c r="F154" s="259">
        <v>8301.83</v>
      </c>
      <c r="G154" s="259"/>
      <c r="H154" s="259">
        <v>0</v>
      </c>
      <c r="I154" s="259"/>
      <c r="J154" s="228">
        <v>0</v>
      </c>
      <c r="K154" s="229"/>
      <c r="L154" s="69"/>
      <c r="M154" s="99"/>
      <c r="Q154" s="230"/>
    </row>
    <row r="155" spans="1:17" ht="23.25" customHeight="1">
      <c r="A155" s="69"/>
      <c r="B155" s="225"/>
      <c r="C155" s="226" t="s">
        <v>217</v>
      </c>
      <c r="D155" s="227"/>
      <c r="E155" s="227"/>
      <c r="F155" s="259">
        <v>54936</v>
      </c>
      <c r="G155" s="259"/>
      <c r="H155" s="259">
        <v>0</v>
      </c>
      <c r="I155" s="259"/>
      <c r="J155" s="228">
        <v>0</v>
      </c>
      <c r="K155" s="229"/>
      <c r="L155" s="69"/>
      <c r="M155" s="99"/>
      <c r="Q155" s="230"/>
    </row>
    <row r="156" spans="1:17" ht="23.25" customHeight="1">
      <c r="A156" s="69"/>
      <c r="B156" s="225"/>
      <c r="C156" s="226" t="s">
        <v>218</v>
      </c>
      <c r="D156" s="227"/>
      <c r="E156" s="227"/>
      <c r="F156" s="259">
        <v>0</v>
      </c>
      <c r="G156" s="259"/>
      <c r="H156" s="259">
        <v>10000</v>
      </c>
      <c r="I156" s="259"/>
      <c r="J156" s="228">
        <v>0</v>
      </c>
      <c r="K156" s="229"/>
      <c r="L156" s="69"/>
      <c r="M156" s="99"/>
      <c r="Q156" s="230"/>
    </row>
    <row r="157" spans="1:17" ht="23.25" customHeight="1">
      <c r="A157" s="69"/>
      <c r="B157" s="225"/>
      <c r="C157" s="226" t="s">
        <v>219</v>
      </c>
      <c r="D157" s="227"/>
      <c r="E157" s="227"/>
      <c r="F157" s="259">
        <v>346977.86</v>
      </c>
      <c r="G157" s="259"/>
      <c r="H157" s="259">
        <v>0</v>
      </c>
      <c r="I157" s="259"/>
      <c r="J157" s="228">
        <v>0</v>
      </c>
      <c r="K157" s="229"/>
      <c r="L157" s="69"/>
      <c r="M157" s="99"/>
      <c r="Q157" s="230"/>
    </row>
    <row r="158" spans="1:17" ht="24.75" customHeight="1">
      <c r="A158" s="69"/>
      <c r="B158" s="232"/>
      <c r="C158" s="233" t="s">
        <v>220</v>
      </c>
      <c r="D158" s="261">
        <v>120573.37</v>
      </c>
      <c r="E158" s="261"/>
      <c r="F158" s="261">
        <v>1064598.3500000001</v>
      </c>
      <c r="G158" s="261"/>
      <c r="H158" s="261">
        <v>2424971.0299999998</v>
      </c>
      <c r="I158" s="261"/>
      <c r="J158" s="234">
        <f>2424971.03-205199.5+1000</f>
        <v>2220771.5299999998</v>
      </c>
      <c r="K158" s="235"/>
      <c r="L158" s="69"/>
      <c r="M158" s="30"/>
      <c r="Q158" s="230"/>
    </row>
    <row r="159" spans="1:17" ht="24.75" customHeight="1">
      <c r="A159" s="69"/>
      <c r="B159" s="236"/>
      <c r="C159" s="237"/>
      <c r="D159" s="259">
        <v>0</v>
      </c>
      <c r="E159" s="259"/>
      <c r="F159" s="259">
        <v>0</v>
      </c>
      <c r="G159" s="259"/>
      <c r="H159" s="259">
        <v>0</v>
      </c>
      <c r="I159" s="259"/>
      <c r="J159" s="228">
        <v>0</v>
      </c>
      <c r="K159" s="229"/>
      <c r="L159" s="69"/>
      <c r="M159" s="30"/>
      <c r="Q159" s="230"/>
    </row>
    <row r="160" spans="1:17" ht="24.75" customHeight="1">
      <c r="A160" s="69"/>
      <c r="B160" s="236"/>
      <c r="C160" s="237"/>
      <c r="D160" s="259">
        <v>5583.66</v>
      </c>
      <c r="E160" s="259"/>
      <c r="F160" s="259">
        <v>0</v>
      </c>
      <c r="G160" s="259"/>
      <c r="H160" s="259">
        <v>0</v>
      </c>
      <c r="I160" s="259"/>
      <c r="J160" s="228">
        <v>0</v>
      </c>
      <c r="K160" s="229"/>
      <c r="L160" s="69"/>
      <c r="M160" s="30"/>
      <c r="Q160" s="230"/>
    </row>
    <row r="161" spans="1:17" ht="25.5" customHeight="1">
      <c r="A161" s="69"/>
      <c r="B161" s="238"/>
      <c r="C161" s="239" t="s">
        <v>221</v>
      </c>
      <c r="D161" s="260">
        <f>D158+D143</f>
        <v>1455329.3900000001</v>
      </c>
      <c r="E161" s="260"/>
      <c r="F161" s="260">
        <f>SUM(F143,F158)</f>
        <v>3071810.14</v>
      </c>
      <c r="G161" s="260"/>
      <c r="H161" s="260">
        <f>SUM(H143,H158)</f>
        <v>4009571.03</v>
      </c>
      <c r="I161" s="260"/>
      <c r="J161" s="240">
        <f>J158+J143</f>
        <v>3560771.53</v>
      </c>
      <c r="K161" s="241"/>
      <c r="L161" s="69"/>
      <c r="M161" s="30"/>
      <c r="Q161" s="242" t="s">
        <v>225</v>
      </c>
    </row>
    <row r="162" spans="1:17">
      <c r="A162" s="69"/>
      <c r="B162" s="257"/>
      <c r="C162" s="257"/>
      <c r="D162" s="257"/>
      <c r="E162" s="257"/>
      <c r="F162" s="257"/>
      <c r="G162" s="257"/>
      <c r="H162" s="257"/>
      <c r="I162" s="257"/>
      <c r="J162" s="243"/>
      <c r="K162" s="243"/>
      <c r="L162" s="69"/>
      <c r="M162" s="30"/>
      <c r="Q162" s="11"/>
    </row>
    <row r="163" spans="1:17" ht="15.75" customHeight="1">
      <c r="A163" s="244"/>
      <c r="B163" s="258"/>
      <c r="C163" s="258"/>
      <c r="D163" s="258"/>
      <c r="E163" s="258"/>
      <c r="F163" s="258"/>
      <c r="G163" s="258"/>
      <c r="H163" s="258"/>
      <c r="I163" s="258"/>
      <c r="J163" s="245"/>
      <c r="K163" s="245"/>
      <c r="L163" s="246"/>
      <c r="M163" s="30"/>
      <c r="Q163" s="11"/>
    </row>
    <row r="164" spans="1:17">
      <c r="A164" s="247"/>
      <c r="B164" s="248"/>
      <c r="C164" s="248"/>
      <c r="D164" s="249"/>
      <c r="E164" s="250"/>
      <c r="F164" s="249"/>
      <c r="G164" s="250"/>
      <c r="H164" s="251"/>
      <c r="I164" s="252"/>
      <c r="J164" s="250"/>
      <c r="K164" s="252"/>
      <c r="L164" s="250"/>
      <c r="Q164" s="251"/>
    </row>
    <row r="165" spans="1:17">
      <c r="H165" s="253"/>
      <c r="Q165" s="253"/>
    </row>
    <row r="176" spans="1:17">
      <c r="D176" s="254"/>
    </row>
  </sheetData>
  <mergeCells count="72">
    <mergeCell ref="B1:I1"/>
    <mergeCell ref="B2:I2"/>
    <mergeCell ref="D16:E16"/>
    <mergeCell ref="F16:G16"/>
    <mergeCell ref="H16:I16"/>
    <mergeCell ref="J16:K16"/>
    <mergeCell ref="B17:I18"/>
    <mergeCell ref="B19:I19"/>
    <mergeCell ref="B20:I20"/>
    <mergeCell ref="D21:E21"/>
    <mergeCell ref="F21:G21"/>
    <mergeCell ref="H21:I21"/>
    <mergeCell ref="D22:E22"/>
    <mergeCell ref="F22:G22"/>
    <mergeCell ref="H22:I22"/>
    <mergeCell ref="B86:I86"/>
    <mergeCell ref="B138:I138"/>
    <mergeCell ref="B140:I141"/>
    <mergeCell ref="B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D146:E146"/>
    <mergeCell ref="F146:G146"/>
    <mergeCell ref="H146:I146"/>
    <mergeCell ref="D147:E147"/>
    <mergeCell ref="F147:G147"/>
    <mergeCell ref="H147:I147"/>
    <mergeCell ref="D148:E148"/>
    <mergeCell ref="F148:G148"/>
    <mergeCell ref="H148:I148"/>
    <mergeCell ref="D149:E149"/>
    <mergeCell ref="F149:G149"/>
    <mergeCell ref="H149:I149"/>
    <mergeCell ref="D150:E150"/>
    <mergeCell ref="F150:G150"/>
    <mergeCell ref="H150:I150"/>
    <mergeCell ref="D151:E151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D158:E158"/>
    <mergeCell ref="F158:G158"/>
    <mergeCell ref="H158:I158"/>
    <mergeCell ref="D159:E159"/>
    <mergeCell ref="F159:G159"/>
    <mergeCell ref="H159:I159"/>
    <mergeCell ref="B162:I162"/>
    <mergeCell ref="B163:I163"/>
    <mergeCell ref="D160:E160"/>
    <mergeCell ref="F160:G160"/>
    <mergeCell ref="H160:I160"/>
    <mergeCell ref="D161:E161"/>
    <mergeCell ref="F161:G161"/>
    <mergeCell ref="H161:I161"/>
  </mergeCells>
  <pageMargins left="0.70069444444444395" right="0.70069444444444395" top="0.78749999999999998" bottom="0.78749999999999998" header="0.51180555555555496" footer="0.51180555555555496"/>
  <pageSetup paperSize="11" scale="41" firstPageNumber="0" fitToHeight="0" orientation="portrait" horizontalDpi="300" verticalDpi="300" r:id="rId1"/>
  <rowBreaks count="2" manualBreakCount="2">
    <brk id="84" max="16383" man="1"/>
    <brk id="1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Haushaltsplan</vt:lpstr>
      <vt:lpstr>Haushaltsplan!Print_Area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</dc:creator>
  <dc:description/>
  <cp:lastModifiedBy>Nils Rohmann</cp:lastModifiedBy>
  <cp:revision>97</cp:revision>
  <cp:lastPrinted>2025-04-07T14:39:50Z</cp:lastPrinted>
  <dcterms:created xsi:type="dcterms:W3CDTF">2021-12-12T13:13:08Z</dcterms:created>
  <dcterms:modified xsi:type="dcterms:W3CDTF">2025-09-15T17:48:27Z</dcterms:modified>
  <dc:language>de-DE</dc:language>
</cp:coreProperties>
</file>